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462489\Desktop\料金計算つーる\"/>
    </mc:Choice>
  </mc:AlternateContent>
  <xr:revisionPtr revIDLastSave="0" documentId="13_ncr:1_{599039B5-195E-45C3-A320-12ABC77BA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3" r:id="rId1"/>
    <sheet name="水道" sheetId="4" state="hidden" r:id="rId2"/>
    <sheet name="下水道" sheetId="5" state="hidden" r:id="rId3"/>
  </sheets>
  <definedNames>
    <definedName name="_xlnm.Print_Area" localSheetId="0">入力シート!$A$1:$L$21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21" i="4"/>
  <c r="D22" i="4"/>
  <c r="D23" i="4"/>
  <c r="D24" i="4"/>
  <c r="D19" i="4"/>
  <c r="N6" i="4"/>
  <c r="N7" i="4"/>
  <c r="N8" i="4"/>
  <c r="N9" i="4"/>
  <c r="N10" i="4"/>
  <c r="N5" i="4"/>
  <c r="E20" i="4"/>
  <c r="E21" i="4"/>
  <c r="E22" i="4"/>
  <c r="E23" i="4"/>
  <c r="E24" i="4"/>
  <c r="E19" i="4"/>
  <c r="D6" i="4"/>
  <c r="D7" i="4"/>
  <c r="D8" i="4"/>
  <c r="D9" i="4"/>
  <c r="D10" i="4"/>
  <c r="D11" i="4"/>
  <c r="D12" i="4"/>
  <c r="D13" i="4"/>
  <c r="D14" i="4"/>
  <c r="D5" i="4"/>
  <c r="E6" i="4"/>
  <c r="E7" i="4"/>
  <c r="E8" i="4"/>
  <c r="E9" i="4"/>
  <c r="E10" i="4"/>
  <c r="E11" i="4"/>
  <c r="E12" i="4"/>
  <c r="E13" i="4"/>
  <c r="E14" i="4"/>
  <c r="E5" i="4"/>
  <c r="O19" i="4"/>
  <c r="O20" i="4"/>
  <c r="O21" i="4"/>
  <c r="O22" i="4"/>
  <c r="O23" i="4"/>
  <c r="O24" i="4"/>
  <c r="B47" i="4"/>
  <c r="M47" i="4" s="1"/>
  <c r="B33" i="4"/>
  <c r="P54" i="4"/>
  <c r="E54" i="4"/>
  <c r="P53" i="4"/>
  <c r="E53" i="4"/>
  <c r="P52" i="4"/>
  <c r="E52" i="4"/>
  <c r="P51" i="4"/>
  <c r="E51" i="4"/>
  <c r="P50" i="4"/>
  <c r="E50" i="4"/>
  <c r="P49" i="4"/>
  <c r="E49" i="4"/>
  <c r="F44" i="4"/>
  <c r="E44" i="4"/>
  <c r="F43" i="4"/>
  <c r="G43" i="4" s="1"/>
  <c r="E43" i="4"/>
  <c r="F42" i="4"/>
  <c r="G42" i="4" s="1"/>
  <c r="E42" i="4"/>
  <c r="F41" i="4"/>
  <c r="H41" i="4" s="1"/>
  <c r="E41" i="4"/>
  <c r="P40" i="4"/>
  <c r="F40" i="4"/>
  <c r="H40" i="4" s="1"/>
  <c r="E40" i="4"/>
  <c r="P39" i="4"/>
  <c r="F39" i="4"/>
  <c r="H39" i="4" s="1"/>
  <c r="E39" i="4"/>
  <c r="P38" i="4"/>
  <c r="F38" i="4"/>
  <c r="G38" i="4" s="1"/>
  <c r="E38" i="4"/>
  <c r="P37" i="4"/>
  <c r="F37" i="4"/>
  <c r="H37" i="4" s="1"/>
  <c r="E37" i="4"/>
  <c r="P36" i="4"/>
  <c r="F36" i="4"/>
  <c r="H36" i="4" s="1"/>
  <c r="E36" i="4"/>
  <c r="P35" i="4"/>
  <c r="F35" i="4"/>
  <c r="H35" i="4" s="1"/>
  <c r="E35" i="4"/>
  <c r="M33" i="4" l="1"/>
  <c r="H38" i="4"/>
  <c r="I39" i="4"/>
  <c r="I42" i="4"/>
  <c r="G39" i="4"/>
  <c r="G37" i="4"/>
  <c r="I41" i="4"/>
  <c r="I44" i="4"/>
  <c r="G41" i="4"/>
  <c r="I43" i="4"/>
  <c r="G35" i="4"/>
  <c r="G36" i="4"/>
  <c r="I38" i="4"/>
  <c r="G40" i="4"/>
  <c r="H43" i="4"/>
  <c r="F45" i="4"/>
  <c r="I37" i="4"/>
  <c r="I35" i="4"/>
  <c r="I36" i="4"/>
  <c r="I40" i="4"/>
  <c r="H42" i="4"/>
  <c r="G44" i="4"/>
  <c r="H44" i="4"/>
  <c r="H45" i="4" l="1"/>
  <c r="I45" i="4"/>
  <c r="G45" i="4"/>
  <c r="P30" i="5"/>
  <c r="O30" i="5"/>
  <c r="P29" i="5"/>
  <c r="O29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P7" i="5"/>
  <c r="O7" i="5"/>
  <c r="P10" i="4"/>
  <c r="O10" i="4"/>
  <c r="P9" i="4"/>
  <c r="O9" i="4"/>
  <c r="P8" i="4"/>
  <c r="O8" i="4"/>
  <c r="P7" i="4"/>
  <c r="O7" i="4"/>
  <c r="P6" i="4"/>
  <c r="O6" i="4"/>
  <c r="P5" i="4"/>
  <c r="O5" i="4"/>
  <c r="P24" i="4"/>
  <c r="P23" i="4"/>
  <c r="P22" i="4"/>
  <c r="P21" i="4"/>
  <c r="P20" i="4"/>
  <c r="P19" i="4"/>
  <c r="B5" i="5" l="1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E7" i="5"/>
  <c r="D7" i="5"/>
  <c r="E3" i="5"/>
  <c r="D3" i="5"/>
  <c r="B3" i="4"/>
  <c r="B17" i="4"/>
  <c r="F9" i="4" l="1"/>
  <c r="F14" i="4"/>
  <c r="F6" i="4"/>
  <c r="F10" i="4"/>
  <c r="F12" i="4"/>
  <c r="F7" i="4"/>
  <c r="F8" i="4"/>
  <c r="F11" i="4"/>
  <c r="F13" i="4"/>
  <c r="F5" i="4"/>
  <c r="M17" i="4"/>
  <c r="Q22" i="4" s="1"/>
  <c r="F52" i="4"/>
  <c r="F51" i="4"/>
  <c r="F53" i="4"/>
  <c r="F49" i="4"/>
  <c r="F54" i="4"/>
  <c r="F50" i="4"/>
  <c r="F13" i="5"/>
  <c r="H13" i="5" s="1"/>
  <c r="M20" i="5"/>
  <c r="M5" i="5"/>
  <c r="F20" i="4"/>
  <c r="H20" i="4" s="1"/>
  <c r="M3" i="4"/>
  <c r="F10" i="5"/>
  <c r="F8" i="5"/>
  <c r="F12" i="5"/>
  <c r="F14" i="5"/>
  <c r="F7" i="5"/>
  <c r="F11" i="5"/>
  <c r="F15" i="5"/>
  <c r="F9" i="5"/>
  <c r="F23" i="4"/>
  <c r="F24" i="4"/>
  <c r="F21" i="4"/>
  <c r="F22" i="4"/>
  <c r="F19" i="4"/>
  <c r="G6" i="4" l="1"/>
  <c r="I6" i="4"/>
  <c r="H6" i="4"/>
  <c r="I14" i="4"/>
  <c r="G14" i="4"/>
  <c r="H14" i="4"/>
  <c r="H5" i="4"/>
  <c r="G5" i="4"/>
  <c r="I5" i="4"/>
  <c r="G13" i="4"/>
  <c r="H13" i="4"/>
  <c r="I13" i="4"/>
  <c r="I7" i="4"/>
  <c r="G7" i="4"/>
  <c r="H7" i="4"/>
  <c r="I10" i="4"/>
  <c r="G10" i="4"/>
  <c r="H10" i="4"/>
  <c r="H9" i="4"/>
  <c r="I9" i="4"/>
  <c r="G9" i="4"/>
  <c r="I11" i="4"/>
  <c r="G11" i="4"/>
  <c r="H11" i="4"/>
  <c r="F15" i="4"/>
  <c r="I8" i="4"/>
  <c r="G8" i="4"/>
  <c r="H8" i="4"/>
  <c r="G12" i="4"/>
  <c r="I12" i="4"/>
  <c r="H12" i="4"/>
  <c r="Q20" i="4"/>
  <c r="R20" i="4" s="1"/>
  <c r="Q24" i="4"/>
  <c r="T24" i="4" s="1"/>
  <c r="Q23" i="4"/>
  <c r="S23" i="4" s="1"/>
  <c r="Q19" i="4"/>
  <c r="R19" i="4" s="1"/>
  <c r="Q21" i="4"/>
  <c r="R21" i="4" s="1"/>
  <c r="G13" i="5"/>
  <c r="I50" i="4"/>
  <c r="G50" i="4"/>
  <c r="H50" i="4"/>
  <c r="I51" i="4"/>
  <c r="G51" i="4"/>
  <c r="H51" i="4"/>
  <c r="I53" i="4"/>
  <c r="G53" i="4"/>
  <c r="H53" i="4"/>
  <c r="Q40" i="4"/>
  <c r="Q36" i="4"/>
  <c r="Q35" i="4"/>
  <c r="Q37" i="4"/>
  <c r="Q38" i="4"/>
  <c r="Q39" i="4"/>
  <c r="I54" i="4"/>
  <c r="H54" i="4"/>
  <c r="G54" i="4"/>
  <c r="I52" i="4"/>
  <c r="H52" i="4"/>
  <c r="G52" i="4"/>
  <c r="I49" i="4"/>
  <c r="G49" i="4"/>
  <c r="H49" i="4"/>
  <c r="F55" i="4"/>
  <c r="Q49" i="4"/>
  <c r="Q53" i="4"/>
  <c r="Q52" i="4"/>
  <c r="Q50" i="4"/>
  <c r="Q51" i="4"/>
  <c r="Q54" i="4"/>
  <c r="Q29" i="5"/>
  <c r="Q25" i="5"/>
  <c r="Q26" i="5"/>
  <c r="Q28" i="5"/>
  <c r="Q24" i="5"/>
  <c r="Q30" i="5"/>
  <c r="Q27" i="5"/>
  <c r="Q23" i="5"/>
  <c r="Q22" i="5"/>
  <c r="I20" i="4"/>
  <c r="I13" i="5"/>
  <c r="Q9" i="4"/>
  <c r="S9" i="4" s="1"/>
  <c r="Q5" i="4"/>
  <c r="S5" i="4" s="1"/>
  <c r="Q6" i="4"/>
  <c r="R6" i="4" s="1"/>
  <c r="Q8" i="4"/>
  <c r="T8" i="4" s="1"/>
  <c r="Q7" i="4"/>
  <c r="S7" i="4" s="1"/>
  <c r="Q10" i="4"/>
  <c r="T10" i="4" s="1"/>
  <c r="G20" i="4"/>
  <c r="Q14" i="5"/>
  <c r="Q7" i="5"/>
  <c r="Q11" i="5"/>
  <c r="Q9" i="5"/>
  <c r="Q8" i="5"/>
  <c r="Q15" i="5"/>
  <c r="Q12" i="5"/>
  <c r="Q13" i="5"/>
  <c r="Q10" i="5"/>
  <c r="T22" i="4"/>
  <c r="R22" i="4"/>
  <c r="S22" i="4"/>
  <c r="F16" i="5"/>
  <c r="H7" i="5"/>
  <c r="I7" i="5"/>
  <c r="G7" i="5"/>
  <c r="I9" i="5"/>
  <c r="G9" i="5"/>
  <c r="H9" i="5"/>
  <c r="G15" i="5"/>
  <c r="I15" i="5"/>
  <c r="H15" i="5"/>
  <c r="H12" i="5"/>
  <c r="G12" i="5"/>
  <c r="I12" i="5"/>
  <c r="H10" i="5"/>
  <c r="I10" i="5"/>
  <c r="G10" i="5"/>
  <c r="H14" i="5"/>
  <c r="I14" i="5"/>
  <c r="G14" i="5"/>
  <c r="G11" i="5"/>
  <c r="I11" i="5"/>
  <c r="H11" i="5"/>
  <c r="H8" i="5"/>
  <c r="G8" i="5"/>
  <c r="I8" i="5"/>
  <c r="I19" i="4"/>
  <c r="G19" i="4"/>
  <c r="H19" i="4"/>
  <c r="F25" i="4"/>
  <c r="G22" i="4"/>
  <c r="H22" i="4"/>
  <c r="I22" i="4"/>
  <c r="H24" i="4"/>
  <c r="I24" i="4"/>
  <c r="G24" i="4"/>
  <c r="H23" i="4"/>
  <c r="I23" i="4"/>
  <c r="G23" i="4"/>
  <c r="H21" i="4"/>
  <c r="G21" i="4"/>
  <c r="I21" i="4"/>
  <c r="G15" i="4" l="1"/>
  <c r="I15" i="4"/>
  <c r="H15" i="4"/>
  <c r="S21" i="4"/>
  <c r="R23" i="4"/>
  <c r="T23" i="4"/>
  <c r="T20" i="4"/>
  <c r="S24" i="4"/>
  <c r="S20" i="4"/>
  <c r="R24" i="4"/>
  <c r="T19" i="4"/>
  <c r="S19" i="4"/>
  <c r="Q25" i="4"/>
  <c r="T21" i="4"/>
  <c r="S8" i="4"/>
  <c r="H55" i="4"/>
  <c r="H57" i="4" s="1"/>
  <c r="H58" i="4" s="1"/>
  <c r="R5" i="4"/>
  <c r="T54" i="4"/>
  <c r="S54" i="4"/>
  <c r="R54" i="4"/>
  <c r="R53" i="4"/>
  <c r="S53" i="4"/>
  <c r="T53" i="4"/>
  <c r="G55" i="4"/>
  <c r="G57" i="4" s="1"/>
  <c r="S39" i="4"/>
  <c r="R39" i="4"/>
  <c r="T39" i="4"/>
  <c r="S36" i="4"/>
  <c r="R36" i="4"/>
  <c r="T36" i="4"/>
  <c r="R52" i="4"/>
  <c r="S52" i="4"/>
  <c r="T52" i="4"/>
  <c r="R51" i="4"/>
  <c r="S51" i="4"/>
  <c r="T51" i="4"/>
  <c r="R49" i="4"/>
  <c r="S49" i="4"/>
  <c r="T49" i="4"/>
  <c r="Q55" i="4"/>
  <c r="I55" i="4"/>
  <c r="I57" i="4" s="1"/>
  <c r="I58" i="4" s="1"/>
  <c r="R38" i="4"/>
  <c r="T38" i="4"/>
  <c r="S38" i="4"/>
  <c r="S40" i="4"/>
  <c r="R40" i="4"/>
  <c r="T40" i="4"/>
  <c r="Q41" i="4"/>
  <c r="T35" i="4"/>
  <c r="R35" i="4"/>
  <c r="S35" i="4"/>
  <c r="R50" i="4"/>
  <c r="S50" i="4"/>
  <c r="T50" i="4"/>
  <c r="S37" i="4"/>
  <c r="R37" i="4"/>
  <c r="T37" i="4"/>
  <c r="T5" i="4"/>
  <c r="S10" i="4"/>
  <c r="R10" i="4"/>
  <c r="T6" i="4"/>
  <c r="Q11" i="4"/>
  <c r="S6" i="4"/>
  <c r="T9" i="4"/>
  <c r="R23" i="5"/>
  <c r="T23" i="5"/>
  <c r="S23" i="5"/>
  <c r="T7" i="4"/>
  <c r="R8" i="5"/>
  <c r="T8" i="5"/>
  <c r="S8" i="5"/>
  <c r="R14" i="5"/>
  <c r="T14" i="5"/>
  <c r="S14" i="5"/>
  <c r="R27" i="5"/>
  <c r="T27" i="5"/>
  <c r="S27" i="5"/>
  <c r="R15" i="5"/>
  <c r="T15" i="5"/>
  <c r="S15" i="5"/>
  <c r="R7" i="5"/>
  <c r="T7" i="5"/>
  <c r="S7" i="5"/>
  <c r="Q16" i="5"/>
  <c r="R28" i="5"/>
  <c r="T28" i="5"/>
  <c r="S28" i="5"/>
  <c r="R9" i="4"/>
  <c r="R10" i="5"/>
  <c r="T10" i="5"/>
  <c r="S10" i="5"/>
  <c r="R26" i="5"/>
  <c r="S26" i="5"/>
  <c r="T26" i="5"/>
  <c r="R7" i="4"/>
  <c r="R8" i="4"/>
  <c r="R13" i="5"/>
  <c r="T13" i="5"/>
  <c r="S13" i="5"/>
  <c r="R9" i="5"/>
  <c r="S9" i="5"/>
  <c r="T9" i="5"/>
  <c r="R30" i="5"/>
  <c r="T30" i="5"/>
  <c r="S30" i="5"/>
  <c r="R25" i="5"/>
  <c r="T25" i="5"/>
  <c r="S25" i="5"/>
  <c r="R12" i="5"/>
  <c r="T12" i="5"/>
  <c r="S12" i="5"/>
  <c r="R11" i="5"/>
  <c r="S11" i="5"/>
  <c r="T11" i="5"/>
  <c r="R22" i="5"/>
  <c r="Q31" i="5"/>
  <c r="T22" i="5"/>
  <c r="S22" i="5"/>
  <c r="R24" i="5"/>
  <c r="S24" i="5"/>
  <c r="T24" i="5"/>
  <c r="R29" i="5"/>
  <c r="S29" i="5"/>
  <c r="T29" i="5"/>
  <c r="G16" i="5"/>
  <c r="G18" i="5" s="1"/>
  <c r="I16" i="5"/>
  <c r="I18" i="5" s="1"/>
  <c r="I19" i="5" s="1"/>
  <c r="H16" i="5"/>
  <c r="H18" i="5" s="1"/>
  <c r="H19" i="5" s="1"/>
  <c r="H25" i="4"/>
  <c r="G25" i="4"/>
  <c r="I25" i="4"/>
  <c r="G27" i="4" l="1"/>
  <c r="I5" i="3" s="1"/>
  <c r="I27" i="4"/>
  <c r="I28" i="4" s="1"/>
  <c r="I6" i="3" s="1"/>
  <c r="H27" i="4"/>
  <c r="H28" i="4" s="1"/>
  <c r="S11" i="4"/>
  <c r="S12" i="4" s="1"/>
  <c r="R25" i="4"/>
  <c r="R26" i="4" s="1"/>
  <c r="T25" i="4"/>
  <c r="T26" i="4" s="1"/>
  <c r="S25" i="4"/>
  <c r="S26" i="4" s="1"/>
  <c r="J6" i="3"/>
  <c r="J5" i="3"/>
  <c r="S41" i="4"/>
  <c r="S42" i="4" s="1"/>
  <c r="T55" i="4"/>
  <c r="T56" i="4" s="1"/>
  <c r="R41" i="4"/>
  <c r="R42" i="4" s="1"/>
  <c r="S55" i="4"/>
  <c r="S56" i="4" s="1"/>
  <c r="T41" i="4"/>
  <c r="T42" i="4" s="1"/>
  <c r="R55" i="4"/>
  <c r="R56" i="4" s="1"/>
  <c r="T11" i="4"/>
  <c r="R11" i="4"/>
  <c r="S31" i="5"/>
  <c r="S33" i="5" s="1"/>
  <c r="T16" i="5"/>
  <c r="T18" i="5" s="1"/>
  <c r="R16" i="5"/>
  <c r="R18" i="5" s="1"/>
  <c r="R31" i="5"/>
  <c r="R33" i="5" s="1"/>
  <c r="T31" i="5"/>
  <c r="T33" i="5" s="1"/>
  <c r="S16" i="5"/>
  <c r="S18" i="5" s="1"/>
  <c r="K5" i="3" l="1"/>
  <c r="S28" i="4"/>
  <c r="K6" i="3"/>
  <c r="R12" i="4"/>
  <c r="R28" i="4" s="1"/>
  <c r="T12" i="4"/>
  <c r="T28" i="4" s="1"/>
  <c r="T58" i="4"/>
  <c r="T59" i="4" s="1"/>
  <c r="R58" i="4"/>
  <c r="R59" i="4" s="1"/>
  <c r="S58" i="4"/>
  <c r="S59" i="4" s="1"/>
  <c r="S35" i="5"/>
  <c r="S36" i="5" s="1"/>
  <c r="R35" i="5"/>
  <c r="R36" i="5" s="1"/>
  <c r="T35" i="5"/>
  <c r="T36" i="5" s="1"/>
  <c r="S29" i="4" l="1"/>
  <c r="T29" i="4"/>
  <c r="I15" i="3" s="1"/>
  <c r="R29" i="4"/>
  <c r="I14" i="3" s="1"/>
  <c r="J15" i="3"/>
  <c r="J14" i="3"/>
  <c r="K14" i="3" l="1"/>
  <c r="K15" i="3"/>
</calcChain>
</file>

<file path=xl/sharedStrings.xml><?xml version="1.0" encoding="utf-8"?>
<sst xmlns="http://schemas.openxmlformats.org/spreadsheetml/2006/main" count="201" uniqueCount="47">
  <si>
    <t>基本料金</t>
    <rPh sb="0" eb="2">
      <t>キホン</t>
    </rPh>
    <rPh sb="2" eb="4">
      <t>リョウキン</t>
    </rPh>
    <phoneticPr fontId="2"/>
  </si>
  <si>
    <t>税抜</t>
    <rPh sb="0" eb="2">
      <t>ゼイヌキ</t>
    </rPh>
    <phoneticPr fontId="2"/>
  </si>
  <si>
    <t>500over</t>
    <phoneticPr fontId="2"/>
  </si>
  <si>
    <t>税抜金額</t>
    <rPh sb="0" eb="2">
      <t>ゼイヌキ</t>
    </rPh>
    <rPh sb="2" eb="4">
      <t>キンガク</t>
    </rPh>
    <phoneticPr fontId="2"/>
  </si>
  <si>
    <t>口径</t>
    <rPh sb="0" eb="2">
      <t>コウケイ</t>
    </rPh>
    <phoneticPr fontId="2"/>
  </si>
  <si>
    <t>水量</t>
    <rPh sb="0" eb="2">
      <t>スイリョウ</t>
    </rPh>
    <phoneticPr fontId="2"/>
  </si>
  <si>
    <t>合計</t>
    <rPh sb="0" eb="2">
      <t>ゴウケイ</t>
    </rPh>
    <phoneticPr fontId="2"/>
  </si>
  <si>
    <t>使用水量</t>
    <rPh sb="0" eb="2">
      <t>シヨウ</t>
    </rPh>
    <rPh sb="2" eb="4">
      <t>スイリョウ</t>
    </rPh>
    <phoneticPr fontId="2"/>
  </si>
  <si>
    <t>税込8</t>
    <rPh sb="0" eb="2">
      <t>ゼイコミ</t>
    </rPh>
    <phoneticPr fontId="2"/>
  </si>
  <si>
    <t>税込10</t>
    <rPh sb="0" eb="2">
      <t>ゼイコミ</t>
    </rPh>
    <phoneticPr fontId="2"/>
  </si>
  <si>
    <t>数量</t>
    <rPh sb="0" eb="2">
      <t>スウリョウ</t>
    </rPh>
    <phoneticPr fontId="2"/>
  </si>
  <si>
    <t>mm</t>
    <phoneticPr fontId="2"/>
  </si>
  <si>
    <t>入力値</t>
    <rPh sb="0" eb="3">
      <t>ニュウリョクチ</t>
    </rPh>
    <phoneticPr fontId="2"/>
  </si>
  <si>
    <t>口径入力値</t>
    <rPh sb="0" eb="2">
      <t>コウケイ</t>
    </rPh>
    <rPh sb="2" eb="5">
      <t>ニュウリョクチ</t>
    </rPh>
    <phoneticPr fontId="2"/>
  </si>
  <si>
    <t>10まで</t>
    <phoneticPr fontId="2"/>
  </si>
  <si>
    <t>20まで</t>
    <phoneticPr fontId="2"/>
  </si>
  <si>
    <t>50まで</t>
    <phoneticPr fontId="2"/>
  </si>
  <si>
    <t>100まで</t>
    <phoneticPr fontId="2"/>
  </si>
  <si>
    <t>500まで</t>
    <phoneticPr fontId="2"/>
  </si>
  <si>
    <t>税抜単価</t>
    <rPh sb="0" eb="2">
      <t>ゼイヌキ</t>
    </rPh>
    <rPh sb="2" eb="4">
      <t>タンカ</t>
    </rPh>
    <phoneticPr fontId="2"/>
  </si>
  <si>
    <t>税込単価8</t>
    <rPh sb="0" eb="2">
      <t>ゼイコミ</t>
    </rPh>
    <rPh sb="2" eb="4">
      <t>タンカ</t>
    </rPh>
    <phoneticPr fontId="2"/>
  </si>
  <si>
    <t>税込単価10</t>
    <rPh sb="0" eb="2">
      <t>ゼイコミ</t>
    </rPh>
    <rPh sb="2" eb="4">
      <t>タンカ</t>
    </rPh>
    <phoneticPr fontId="2"/>
  </si>
  <si>
    <t>基本料金込み</t>
    <rPh sb="0" eb="2">
      <t>キホン</t>
    </rPh>
    <rPh sb="2" eb="4">
      <t>リョウキン</t>
    </rPh>
    <rPh sb="4" eb="5">
      <t>コ</t>
    </rPh>
    <phoneticPr fontId="2"/>
  </si>
  <si>
    <t>10円未満切捨て</t>
    <rPh sb="2" eb="3">
      <t>エン</t>
    </rPh>
    <rPh sb="3" eb="5">
      <t>ミマン</t>
    </rPh>
    <rPh sb="5" eb="7">
      <t>キリス</t>
    </rPh>
    <phoneticPr fontId="2"/>
  </si>
  <si>
    <t>㎥</t>
    <phoneticPr fontId="2"/>
  </si>
  <si>
    <t>1000over</t>
  </si>
  <si>
    <t>税込（10％）</t>
    <rPh sb="0" eb="2">
      <t>ゼイコミ</t>
    </rPh>
    <phoneticPr fontId="2"/>
  </si>
  <si>
    <t>使用形態</t>
    <rPh sb="0" eb="2">
      <t>シヨウ</t>
    </rPh>
    <rPh sb="2" eb="4">
      <t>ケイタイ</t>
    </rPh>
    <phoneticPr fontId="2"/>
  </si>
  <si>
    <t>上下水</t>
  </si>
  <si>
    <t>1か月</t>
    <rPh sb="2" eb="3">
      <t>ゲツ</t>
    </rPh>
    <phoneticPr fontId="2"/>
  </si>
  <si>
    <t>2か月</t>
    <rPh sb="2" eb="3">
      <t>ゲツ</t>
    </rPh>
    <phoneticPr fontId="2"/>
  </si>
  <si>
    <t>2か月合計</t>
    <rPh sb="2" eb="3">
      <t>ゲツ</t>
    </rPh>
    <rPh sb="3" eb="5">
      <t>ゴウケイ</t>
    </rPh>
    <phoneticPr fontId="2"/>
  </si>
  <si>
    <t>10円未満切捨て</t>
    <rPh sb="2" eb="3">
      <t>エン</t>
    </rPh>
    <rPh sb="3" eb="5">
      <t>ミマン</t>
    </rPh>
    <rPh sb="5" eb="7">
      <t>キリス</t>
    </rPh>
    <phoneticPr fontId="2"/>
  </si>
  <si>
    <t>1か月料金</t>
    <rPh sb="2" eb="3">
      <t>ゲツ</t>
    </rPh>
    <rPh sb="3" eb="5">
      <t>リョウキン</t>
    </rPh>
    <phoneticPr fontId="2"/>
  </si>
  <si>
    <t>2か月料金</t>
    <rPh sb="2" eb="3">
      <t>ゲツ</t>
    </rPh>
    <rPh sb="3" eb="5">
      <t>リョウキン</t>
    </rPh>
    <phoneticPr fontId="2"/>
  </si>
  <si>
    <r>
      <t>下水道使用料</t>
    </r>
    <r>
      <rPr>
        <b/>
        <sz val="9"/>
        <color theme="1"/>
        <rFont val="HG丸ｺﾞｼｯｸM-PRO"/>
        <family val="3"/>
        <charset val="128"/>
      </rPr>
      <t>（円）</t>
    </r>
    <rPh sb="0" eb="3">
      <t>ゲスイドウ</t>
    </rPh>
    <rPh sb="3" eb="6">
      <t>シヨウリョウ</t>
    </rPh>
    <rPh sb="7" eb="8">
      <t>エン</t>
    </rPh>
    <phoneticPr fontId="2"/>
  </si>
  <si>
    <r>
      <rPr>
        <b/>
        <sz val="12"/>
        <color theme="1"/>
        <rFont val="HG丸ｺﾞｼｯｸM-PRO"/>
        <family val="3"/>
        <charset val="128"/>
      </rPr>
      <t>水道料金</t>
    </r>
    <r>
      <rPr>
        <b/>
        <sz val="10"/>
        <color theme="1"/>
        <rFont val="HG丸ｺﾞｼｯｸM-PRO"/>
        <family val="3"/>
        <charset val="128"/>
      </rPr>
      <t>（円）</t>
    </r>
    <rPh sb="0" eb="2">
      <t>スイドウ</t>
    </rPh>
    <rPh sb="2" eb="4">
      <t>リョウキン</t>
    </rPh>
    <rPh sb="5" eb="6">
      <t>エン</t>
    </rPh>
    <phoneticPr fontId="2"/>
  </si>
  <si>
    <r>
      <t>合計</t>
    </r>
    <r>
      <rPr>
        <b/>
        <sz val="10"/>
        <color theme="1"/>
        <rFont val="HG丸ｺﾞｼｯｸM-PRO"/>
        <family val="3"/>
        <charset val="128"/>
      </rPr>
      <t>（円）</t>
    </r>
    <rPh sb="0" eb="2">
      <t>ゴウケイ</t>
    </rPh>
    <rPh sb="3" eb="4">
      <t>エン</t>
    </rPh>
    <phoneticPr fontId="2"/>
  </si>
  <si>
    <t>水道料金及び下水道使用料　料金計算</t>
    <rPh sb="0" eb="2">
      <t>スイドウ</t>
    </rPh>
    <rPh sb="2" eb="4">
      <t>リョウキン</t>
    </rPh>
    <rPh sb="4" eb="5">
      <t>オヨ</t>
    </rPh>
    <rPh sb="6" eb="9">
      <t>ゲスイドウ</t>
    </rPh>
    <rPh sb="9" eb="12">
      <t>シヨウリョウ</t>
    </rPh>
    <rPh sb="13" eb="15">
      <t>リョウキン</t>
    </rPh>
    <rPh sb="15" eb="17">
      <t>ケイサン</t>
    </rPh>
    <phoneticPr fontId="2"/>
  </si>
  <si>
    <t>R2料金改定</t>
    <rPh sb="2" eb="4">
      <t>リョウキン</t>
    </rPh>
    <rPh sb="4" eb="6">
      <t>カイテイ</t>
    </rPh>
    <phoneticPr fontId="2"/>
  </si>
  <si>
    <t>10円未満切捨てず</t>
    <rPh sb="2" eb="3">
      <t>エン</t>
    </rPh>
    <rPh sb="3" eb="5">
      <t>ミマン</t>
    </rPh>
    <rPh sb="5" eb="7">
      <t>キリス</t>
    </rPh>
    <phoneticPr fontId="2"/>
  </si>
  <si>
    <t>1月目</t>
    <rPh sb="1" eb="2">
      <t>ツキ</t>
    </rPh>
    <rPh sb="2" eb="3">
      <t>メ</t>
    </rPh>
    <phoneticPr fontId="2"/>
  </si>
  <si>
    <t>2月目</t>
    <rPh sb="1" eb="2">
      <t>ツキ</t>
    </rPh>
    <rPh sb="2" eb="3">
      <t>メ</t>
    </rPh>
    <phoneticPr fontId="2"/>
  </si>
  <si>
    <t>改定後</t>
    <rPh sb="0" eb="2">
      <t>カイテイ</t>
    </rPh>
    <rPh sb="2" eb="3">
      <t>ゴ</t>
    </rPh>
    <phoneticPr fontId="2"/>
  </si>
  <si>
    <t>税込〇％</t>
    <rPh sb="0" eb="2">
      <t>ゼイコミ</t>
    </rPh>
    <phoneticPr fontId="2"/>
  </si>
  <si>
    <t>1円未満切捨て</t>
    <rPh sb="1" eb="2">
      <t>エン</t>
    </rPh>
    <rPh sb="2" eb="4">
      <t>ミマン</t>
    </rPh>
    <rPh sb="4" eb="6">
      <t>キリス</t>
    </rPh>
    <phoneticPr fontId="2"/>
  </si>
  <si>
    <t>現在</t>
    <rPh sb="0" eb="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</si>
</sst>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0_ ;[Red]\-#,##0.00\ 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 left="1" right="1">
        <stop position="0">
          <color theme="8" tint="0.80001220740379042"/>
        </stop>
        <stop position="1">
          <color theme="4" tint="-0.49803155613879818"/>
        </stop>
      </gradient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1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177" fontId="0" fillId="0" borderId="0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6" xfId="1" applyNumberFormat="1" applyFont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9" fontId="0" fillId="2" borderId="1" xfId="0" applyNumberFormat="1" applyFill="1" applyBorder="1">
      <alignment vertical="center"/>
    </xf>
    <xf numFmtId="177" fontId="0" fillId="4" borderId="1" xfId="1" applyNumberFormat="1" applyFont="1" applyFill="1" applyBorder="1">
      <alignment vertical="center"/>
    </xf>
    <xf numFmtId="177" fontId="0" fillId="0" borderId="1" xfId="0" applyNumberFormat="1" applyBorder="1">
      <alignment vertical="center"/>
    </xf>
    <xf numFmtId="177" fontId="0" fillId="3" borderId="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2" xfId="0" applyNumberFormat="1" applyBorder="1">
      <alignment vertical="center"/>
    </xf>
    <xf numFmtId="38" fontId="0" fillId="3" borderId="3" xfId="1" applyFont="1" applyFill="1" applyBorder="1">
      <alignment vertical="center"/>
    </xf>
    <xf numFmtId="38" fontId="0" fillId="4" borderId="4" xfId="1" applyFont="1" applyFill="1" applyBorder="1">
      <alignment vertical="center"/>
    </xf>
    <xf numFmtId="177" fontId="0" fillId="4" borderId="4" xfId="1" applyNumberFormat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177" fontId="0" fillId="0" borderId="27" xfId="1" applyNumberFormat="1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1" fillId="0" borderId="21" xfId="0" applyFon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177" fontId="0" fillId="3" borderId="30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38" fontId="0" fillId="0" borderId="29" xfId="1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20" xfId="0" applyNumberForma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7" fillId="0" borderId="32" xfId="0" applyFont="1" applyBorder="1" applyAlignment="1" applyProtection="1">
      <alignment horizontal="right" vertical="center"/>
      <protection locked="0"/>
    </xf>
    <xf numFmtId="38" fontId="7" fillId="0" borderId="32" xfId="1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13" fillId="5" borderId="2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6" fillId="0" borderId="27" xfId="0" applyFont="1" applyBorder="1">
      <alignment vertical="center"/>
    </xf>
    <xf numFmtId="0" fontId="16" fillId="0" borderId="0" xfId="0" applyFont="1">
      <alignment vertical="center"/>
    </xf>
    <xf numFmtId="0" fontId="0" fillId="0" borderId="24" xfId="0" applyBorder="1" applyAlignment="1">
      <alignment horizontal="right" vertical="center"/>
    </xf>
    <xf numFmtId="38" fontId="18" fillId="6" borderId="0" xfId="1" applyFont="1" applyFill="1" applyBorder="1" applyProtection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7" fillId="6" borderId="0" xfId="0" applyFont="1" applyFill="1" applyAlignment="1">
      <alignment horizontal="right" vertical="center"/>
    </xf>
    <xf numFmtId="38" fontId="7" fillId="6" borderId="0" xfId="1" applyFont="1" applyFill="1" applyBorder="1" applyProtection="1">
      <alignment vertical="center"/>
    </xf>
    <xf numFmtId="0" fontId="10" fillId="6" borderId="2" xfId="0" applyFont="1" applyFill="1" applyBorder="1" applyAlignment="1">
      <alignment horizontal="center" vertical="center"/>
    </xf>
    <xf numFmtId="0" fontId="8" fillId="6" borderId="0" xfId="0" applyFont="1" applyFill="1">
      <alignment vertical="center"/>
    </xf>
    <xf numFmtId="0" fontId="17" fillId="6" borderId="0" xfId="0" applyFont="1" applyFill="1">
      <alignment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13" fillId="6" borderId="2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9" fillId="6" borderId="18" xfId="0" applyFont="1" applyFill="1" applyBorder="1">
      <alignment vertical="center"/>
    </xf>
    <xf numFmtId="0" fontId="19" fillId="6" borderId="19" xfId="0" applyFont="1" applyFill="1" applyBorder="1">
      <alignment vertical="center"/>
    </xf>
    <xf numFmtId="38" fontId="20" fillId="6" borderId="0" xfId="0" applyNumberFormat="1" applyFont="1" applyFill="1" applyAlignment="1">
      <alignment vertical="top"/>
    </xf>
    <xf numFmtId="177" fontId="0" fillId="8" borderId="1" xfId="1" applyNumberFormat="1" applyFont="1" applyFill="1" applyBorder="1">
      <alignment vertical="center"/>
    </xf>
    <xf numFmtId="177" fontId="0" fillId="8" borderId="6" xfId="1" applyNumberFormat="1" applyFont="1" applyFill="1" applyBorder="1">
      <alignment vertical="center"/>
    </xf>
    <xf numFmtId="9" fontId="0" fillId="3" borderId="0" xfId="2" applyFont="1" applyFill="1">
      <alignment vertical="center"/>
    </xf>
    <xf numFmtId="14" fontId="6" fillId="6" borderId="0" xfId="0" applyNumberFormat="1" applyFont="1" applyFill="1" applyAlignment="1">
      <alignment horizontal="right" vertical="center"/>
    </xf>
    <xf numFmtId="38" fontId="8" fillId="6" borderId="12" xfId="1" applyFont="1" applyFill="1" applyBorder="1" applyProtection="1">
      <alignment vertical="center"/>
    </xf>
    <xf numFmtId="38" fontId="8" fillId="6" borderId="8" xfId="1" applyFont="1" applyFill="1" applyBorder="1" applyProtection="1">
      <alignment vertical="center"/>
    </xf>
    <xf numFmtId="38" fontId="8" fillId="6" borderId="15" xfId="1" applyFont="1" applyFill="1" applyBorder="1" applyProtection="1">
      <alignment vertical="center"/>
    </xf>
    <xf numFmtId="38" fontId="8" fillId="6" borderId="16" xfId="1" applyFont="1" applyFill="1" applyBorder="1" applyProtection="1">
      <alignment vertical="center"/>
    </xf>
    <xf numFmtId="38" fontId="3" fillId="0" borderId="13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0" fontId="12" fillId="7" borderId="0" xfId="0" applyFont="1" applyFill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82825</xdr:colOff>
      <xdr:row>11</xdr:row>
      <xdr:rowOff>125818</xdr:rowOff>
    </xdr:from>
    <xdr:to>
      <xdr:col>4</xdr:col>
      <xdr:colOff>414130</xdr:colOff>
      <xdr:row>15</xdr:row>
      <xdr:rowOff>290697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97200" y="4277476"/>
          <a:ext cx="1956767" cy="2110996"/>
        </a:xfrm>
        <a:prstGeom prst="rect">
          <a:avLst/>
        </a:prstGeom>
        <a:effectLst>
          <a:softEdge rad="101600"/>
        </a:effectLst>
      </xdr:spPr>
    </xdr:pic>
    <xdr:clientData/>
  </xdr:twoCellAnchor>
  <xdr:twoCellAnchor>
    <xdr:from>
      <xdr:col>1</xdr:col>
      <xdr:colOff>377628</xdr:colOff>
      <xdr:row>7</xdr:row>
      <xdr:rowOff>345681</xdr:rowOff>
    </xdr:from>
    <xdr:to>
      <xdr:col>5</xdr:col>
      <xdr:colOff>63303</xdr:colOff>
      <xdr:row>9</xdr:row>
      <xdr:rowOff>290188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49771" y="3556967"/>
          <a:ext cx="3033032" cy="65207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　「口径」と「使用水量」を入力し</a:t>
          </a:r>
          <a:endParaRPr kumimoji="1" lang="en-US" altLang="ja-JP" sz="1200" b="1"/>
        </a:p>
        <a:p>
          <a:r>
            <a:rPr kumimoji="1" lang="ja-JP" altLang="en-US" sz="1200" b="1"/>
            <a:t>　「使用形態」を選択してください。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70" zoomScaleNormal="70" workbookViewId="0">
      <selection activeCell="O5" sqref="O5"/>
    </sheetView>
  </sheetViews>
  <sheetFormatPr defaultRowHeight="13.5" x14ac:dyDescent="0.4"/>
  <cols>
    <col min="1" max="1" width="3.5" style="58" customWidth="1"/>
    <col min="2" max="2" width="5.875" style="58" customWidth="1"/>
    <col min="3" max="3" width="15.25" style="58" customWidth="1"/>
    <col min="4" max="4" width="6.125" style="58" customWidth="1"/>
    <col min="5" max="5" width="16.75" style="58" customWidth="1"/>
    <col min="6" max="7" width="5.125" style="58" customWidth="1"/>
    <col min="8" max="8" width="17" style="58" bestFit="1" customWidth="1"/>
    <col min="9" max="9" width="17.625" style="58" customWidth="1"/>
    <col min="10" max="10" width="19.5" style="58" customWidth="1"/>
    <col min="11" max="11" width="18" style="58" customWidth="1"/>
    <col min="12" max="12" width="11.75" style="58" customWidth="1"/>
    <col min="13" max="16384" width="9" style="58"/>
  </cols>
  <sheetData>
    <row r="1" spans="1:12" ht="42.75" customHeight="1" x14ac:dyDescent="0.4">
      <c r="A1" s="95" t="s">
        <v>38</v>
      </c>
      <c r="B1" s="95"/>
      <c r="C1" s="95"/>
      <c r="D1" s="95"/>
      <c r="E1" s="95"/>
      <c r="F1" s="95"/>
      <c r="G1" s="95"/>
      <c r="H1" s="95"/>
      <c r="I1" s="88">
        <v>45017</v>
      </c>
      <c r="J1" s="65" t="s">
        <v>46</v>
      </c>
      <c r="K1" s="65"/>
      <c r="L1" s="65"/>
    </row>
    <row r="2" spans="1:12" ht="21" customHeight="1" thickBot="1" x14ac:dyDescent="0.45">
      <c r="A2" s="65"/>
      <c r="B2" s="65"/>
      <c r="C2" s="66"/>
      <c r="D2" s="65"/>
      <c r="E2" s="66"/>
      <c r="F2" s="65"/>
      <c r="G2" s="65"/>
      <c r="H2" s="65"/>
      <c r="I2" s="65"/>
      <c r="J2" s="65"/>
      <c r="K2" s="65"/>
      <c r="L2" s="65"/>
    </row>
    <row r="3" spans="1:12" ht="41.25" customHeight="1" thickBot="1" x14ac:dyDescent="0.45">
      <c r="A3" s="65"/>
      <c r="B3" s="65"/>
      <c r="C3" s="67" t="s">
        <v>4</v>
      </c>
      <c r="D3" s="68"/>
      <c r="E3" s="69" t="s">
        <v>7</v>
      </c>
      <c r="F3" s="65"/>
      <c r="G3" s="65"/>
      <c r="H3" s="59" t="s">
        <v>33</v>
      </c>
      <c r="I3" s="65"/>
      <c r="J3" s="65"/>
      <c r="K3" s="65"/>
      <c r="L3" s="65"/>
    </row>
    <row r="4" spans="1:12" ht="36.75" customHeight="1" thickTop="1" thickBot="1" x14ac:dyDescent="0.45">
      <c r="A4" s="65"/>
      <c r="B4" s="65"/>
      <c r="C4" s="56">
        <v>20</v>
      </c>
      <c r="D4" s="70" t="s">
        <v>11</v>
      </c>
      <c r="E4" s="57">
        <v>40</v>
      </c>
      <c r="F4" s="71" t="s">
        <v>24</v>
      </c>
      <c r="G4" s="71"/>
      <c r="H4" s="78"/>
      <c r="I4" s="79" t="s">
        <v>36</v>
      </c>
      <c r="J4" s="80" t="s">
        <v>35</v>
      </c>
      <c r="K4" s="81" t="s">
        <v>37</v>
      </c>
      <c r="L4" s="65"/>
    </row>
    <row r="5" spans="1:12" ht="42" customHeight="1" thickTop="1" x14ac:dyDescent="0.4">
      <c r="A5" s="65"/>
      <c r="B5" s="65"/>
      <c r="C5" s="72"/>
      <c r="D5" s="70"/>
      <c r="E5" s="73"/>
      <c r="F5" s="71"/>
      <c r="G5" s="71"/>
      <c r="H5" s="82" t="s">
        <v>1</v>
      </c>
      <c r="I5" s="89">
        <f>IF(C7="下水のみ",0,水道!G27)</f>
        <v>5210</v>
      </c>
      <c r="J5" s="90">
        <f>IF(C7="上水のみ",0,下水道!G18)</f>
        <v>5575</v>
      </c>
      <c r="K5" s="93">
        <f>I5+J5</f>
        <v>10785</v>
      </c>
      <c r="L5" s="65"/>
    </row>
    <row r="6" spans="1:12" ht="42" customHeight="1" thickBot="1" x14ac:dyDescent="0.45">
      <c r="A6" s="65"/>
      <c r="B6" s="65"/>
      <c r="C6" s="74" t="s">
        <v>27</v>
      </c>
      <c r="D6" s="65"/>
      <c r="E6" s="65"/>
      <c r="F6" s="65"/>
      <c r="G6" s="65"/>
      <c r="H6" s="83" t="s">
        <v>26</v>
      </c>
      <c r="I6" s="91">
        <f>IF(C7="下水のみ",0,水道!I28)</f>
        <v>5731</v>
      </c>
      <c r="J6" s="92">
        <f>IF(C7="上水のみ",0,下水道!I19)</f>
        <v>6132</v>
      </c>
      <c r="K6" s="94">
        <f>I6+J6</f>
        <v>11863</v>
      </c>
      <c r="L6" s="65"/>
    </row>
    <row r="7" spans="1:12" s="60" customFormat="1" ht="27.6" customHeight="1" thickTop="1" thickBot="1" x14ac:dyDescent="0.45">
      <c r="A7" s="75"/>
      <c r="B7" s="75"/>
      <c r="C7" s="77" t="s">
        <v>28</v>
      </c>
      <c r="D7" s="75"/>
      <c r="E7" s="75"/>
      <c r="F7" s="75"/>
      <c r="G7" s="75"/>
      <c r="H7" s="75"/>
      <c r="I7" s="75"/>
      <c r="J7" s="75"/>
      <c r="K7" s="75"/>
      <c r="L7" s="65"/>
    </row>
    <row r="8" spans="1:12" s="60" customFormat="1" ht="28.5" customHeight="1" thickTop="1" x14ac:dyDescent="0.4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s="60" customFormat="1" ht="27.6" customHeight="1" x14ac:dyDescent="0.4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s="60" customFormat="1" ht="27.6" customHeight="1" x14ac:dyDescent="0.4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s="60" customFormat="1" ht="21.75" customHeight="1" thickBot="1" x14ac:dyDescent="0.45">
      <c r="A11" s="75"/>
      <c r="B11" s="75"/>
      <c r="C11" s="75"/>
      <c r="D11" s="75"/>
      <c r="E11" s="75"/>
      <c r="F11" s="75"/>
      <c r="G11" s="75"/>
      <c r="H11" s="76"/>
      <c r="I11" s="64"/>
      <c r="J11" s="75"/>
      <c r="K11" s="84"/>
      <c r="L11" s="75"/>
    </row>
    <row r="12" spans="1:12" s="60" customFormat="1" ht="34.5" customHeight="1" thickBot="1" x14ac:dyDescent="0.45">
      <c r="A12" s="75"/>
      <c r="B12" s="75"/>
      <c r="C12" s="75"/>
      <c r="D12" s="75"/>
      <c r="E12" s="75"/>
      <c r="F12" s="75"/>
      <c r="G12" s="75"/>
      <c r="H12" s="59" t="s">
        <v>34</v>
      </c>
      <c r="I12" s="75"/>
      <c r="J12" s="75"/>
      <c r="K12" s="75"/>
      <c r="L12" s="75"/>
    </row>
    <row r="13" spans="1:12" ht="27.6" customHeight="1" thickBot="1" x14ac:dyDescent="0.45">
      <c r="A13" s="65"/>
      <c r="B13" s="65"/>
      <c r="C13" s="65"/>
      <c r="D13" s="65"/>
      <c r="E13" s="65"/>
      <c r="F13" s="65"/>
      <c r="G13" s="65"/>
      <c r="H13" s="78"/>
      <c r="I13" s="79" t="s">
        <v>36</v>
      </c>
      <c r="J13" s="80" t="s">
        <v>35</v>
      </c>
      <c r="K13" s="81" t="s">
        <v>37</v>
      </c>
      <c r="L13" s="65"/>
    </row>
    <row r="14" spans="1:12" ht="46.5" customHeight="1" x14ac:dyDescent="0.4">
      <c r="A14" s="65"/>
      <c r="B14" s="65"/>
      <c r="C14" s="65"/>
      <c r="D14" s="65"/>
      <c r="E14" s="65"/>
      <c r="F14" s="65"/>
      <c r="G14" s="65"/>
      <c r="H14" s="82" t="s">
        <v>1</v>
      </c>
      <c r="I14" s="89">
        <f>IF(C7="下水のみ",0,水道!R29)</f>
        <v>4740</v>
      </c>
      <c r="J14" s="90">
        <f>IF(C7="上水のみ",0,下水道!R36)</f>
        <v>5050</v>
      </c>
      <c r="K14" s="93">
        <f>I14+J14</f>
        <v>9790</v>
      </c>
      <c r="L14" s="65"/>
    </row>
    <row r="15" spans="1:12" ht="46.5" customHeight="1" thickBot="1" x14ac:dyDescent="0.45">
      <c r="A15" s="65"/>
      <c r="B15" s="65"/>
      <c r="C15" s="65"/>
      <c r="D15" s="65"/>
      <c r="E15" s="65"/>
      <c r="F15" s="65"/>
      <c r="G15" s="65"/>
      <c r="H15" s="83" t="s">
        <v>26</v>
      </c>
      <c r="I15" s="91">
        <f>IF(C7="下水のみ",0,水道!T29)</f>
        <v>5214</v>
      </c>
      <c r="J15" s="92">
        <f>IF(C7="上水のみ",0,下水道!T36)</f>
        <v>5554</v>
      </c>
      <c r="K15" s="94">
        <f>I15+J15</f>
        <v>10768</v>
      </c>
      <c r="L15" s="65"/>
    </row>
    <row r="16" spans="1:12" ht="27.6" customHeight="1" x14ac:dyDescent="0.4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 ht="28.5" customHeight="1" x14ac:dyDescent="0.4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2" ht="27.6" customHeight="1" x14ac:dyDescent="0.4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27.6" customHeight="1" x14ac:dyDescent="0.4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x14ac:dyDescent="0.4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84"/>
      <c r="L20" s="65"/>
    </row>
    <row r="21" spans="1:12" x14ac:dyDescent="0.4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</sheetData>
  <mergeCells count="1">
    <mergeCell ref="A1:H1"/>
  </mergeCells>
  <phoneticPr fontId="2"/>
  <dataValidations count="4">
    <dataValidation type="list" errorStyle="warning" allowBlank="1" showDropDown="1" showInputMessage="1" showErrorMessage="1" errorTitle="口径無し" error="そんな口径ねえよ！" sqref="C5" xr:uid="{00000000-0002-0000-0000-000000000000}">
      <formula1>"0,13,20,25,30,40,50,75,100,150,200"</formula1>
    </dataValidation>
    <dataValidation type="list" allowBlank="1" showInputMessage="1" showErrorMessage="1" errorTitle="選択エラー" error="どれか選べ！" prompt="いずれか選択してください" sqref="C7" xr:uid="{00000000-0002-0000-0000-000001000000}">
      <formula1>"上下水,上水のみ,下水のみ"</formula1>
    </dataValidation>
    <dataValidation type="list" allowBlank="1" showInputMessage="1" showErrorMessage="1" sqref="D2 F2:G2" xr:uid="{00000000-0002-0000-0000-000002000000}">
      <formula1>"No,Yes"</formula1>
    </dataValidation>
    <dataValidation type="list" allowBlank="1" showInputMessage="1" showErrorMessage="1" errorTitle="口径エラー" error="お前も蠟人形にしてやろうか！" prompt="規定外の口径を入力しないでください" sqref="C4" xr:uid="{00000000-0002-0000-0000-000003000000}">
      <formula1>"13,20,25,30,40,50,75,100,150,200"</formula1>
    </dataValidation>
  </dataValidations>
  <pageMargins left="0.7" right="0.7" top="0.75" bottom="0.75" header="0.3" footer="0.3"/>
  <pageSetup paperSize="9" scale="83" orientation="landscape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9"/>
  <sheetViews>
    <sheetView topLeftCell="E12" zoomScaleNormal="100" workbookViewId="0">
      <selection activeCell="T30" sqref="T30"/>
    </sheetView>
  </sheetViews>
  <sheetFormatPr defaultRowHeight="18.75" x14ac:dyDescent="0.4"/>
  <cols>
    <col min="1" max="1" width="11" bestFit="1" customWidth="1"/>
    <col min="3" max="5" width="10" bestFit="1" customWidth="1"/>
    <col min="7" max="9" width="11.125" bestFit="1" customWidth="1"/>
    <col min="11" max="11" width="10.625" customWidth="1"/>
    <col min="13" max="15" width="10" bestFit="1" customWidth="1"/>
    <col min="18" max="20" width="10" bestFit="1" customWidth="1"/>
  </cols>
  <sheetData>
    <row r="1" spans="1:21" ht="19.5" thickBot="1" x14ac:dyDescent="0.45">
      <c r="A1" t="s">
        <v>29</v>
      </c>
      <c r="K1" t="s">
        <v>30</v>
      </c>
    </row>
    <row r="2" spans="1:21" ht="19.5" thickBot="1" x14ac:dyDescent="0.45">
      <c r="A2" s="41" t="s">
        <v>0</v>
      </c>
      <c r="B2" s="32"/>
      <c r="C2" s="32"/>
      <c r="D2" s="32"/>
      <c r="E2" s="32"/>
      <c r="F2" s="32"/>
      <c r="G2" s="32"/>
      <c r="H2" s="32"/>
      <c r="I2" s="32"/>
      <c r="J2" s="33"/>
      <c r="K2" s="31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1:21" ht="19.5" thickBot="1" x14ac:dyDescent="0.45">
      <c r="A3" s="34" t="s">
        <v>13</v>
      </c>
      <c r="B3" s="55">
        <f>入力シート!C4</f>
        <v>20</v>
      </c>
      <c r="D3" s="87">
        <v>0</v>
      </c>
      <c r="E3" s="87">
        <v>0.1</v>
      </c>
      <c r="J3" s="35"/>
      <c r="K3" s="34" t="s">
        <v>30</v>
      </c>
      <c r="L3" s="43" t="s">
        <v>12</v>
      </c>
      <c r="M3" s="55">
        <f>ROUNDUP(B17/2,0)</f>
        <v>20</v>
      </c>
      <c r="U3" s="35"/>
    </row>
    <row r="4" spans="1:21" x14ac:dyDescent="0.4">
      <c r="A4" s="34"/>
      <c r="B4" s="54" t="s">
        <v>4</v>
      </c>
      <c r="C4" s="3" t="s">
        <v>1</v>
      </c>
      <c r="D4" s="3" t="s">
        <v>44</v>
      </c>
      <c r="E4" s="12" t="s">
        <v>9</v>
      </c>
      <c r="F4" s="13" t="s">
        <v>10</v>
      </c>
      <c r="G4" s="3" t="s">
        <v>1</v>
      </c>
      <c r="H4" s="3" t="s">
        <v>44</v>
      </c>
      <c r="I4" s="17">
        <v>0.1</v>
      </c>
      <c r="J4" s="35"/>
      <c r="K4" s="63" t="s">
        <v>41</v>
      </c>
      <c r="M4" s="54" t="s">
        <v>5</v>
      </c>
      <c r="N4" s="14" t="s">
        <v>19</v>
      </c>
      <c r="O4" s="15" t="s">
        <v>20</v>
      </c>
      <c r="P4" s="16" t="s">
        <v>21</v>
      </c>
      <c r="Q4" s="13" t="s">
        <v>5</v>
      </c>
      <c r="R4" s="3" t="s">
        <v>1</v>
      </c>
      <c r="S4" s="3" t="s">
        <v>8</v>
      </c>
      <c r="T4" s="3" t="s">
        <v>9</v>
      </c>
      <c r="U4" s="35"/>
    </row>
    <row r="5" spans="1:21" x14ac:dyDescent="0.4">
      <c r="A5" s="34"/>
      <c r="B5" s="3">
        <v>13</v>
      </c>
      <c r="C5" s="6">
        <v>700</v>
      </c>
      <c r="D5" s="6">
        <f>C5*(1+$D$3)</f>
        <v>700</v>
      </c>
      <c r="E5" s="10">
        <f>C5*(1+$E$3)</f>
        <v>770.00000000000011</v>
      </c>
      <c r="F5" s="11" t="str">
        <f>IF($B$3=B5,1,"")</f>
        <v/>
      </c>
      <c r="G5" s="6" t="str">
        <f>IF(F5="","",F5*C5)</f>
        <v/>
      </c>
      <c r="H5" s="6" t="str">
        <f>IF(F5="","",F5*D5)</f>
        <v/>
      </c>
      <c r="I5" s="6" t="str">
        <f>IF(F5="","",E5*F5)</f>
        <v/>
      </c>
      <c r="J5" s="35"/>
      <c r="K5" s="34"/>
      <c r="M5" s="2" t="s">
        <v>14</v>
      </c>
      <c r="N5" s="5">
        <f>C19</f>
        <v>60</v>
      </c>
      <c r="O5" s="6">
        <f t="shared" ref="O5:O10" si="0">N5*1.08</f>
        <v>64.800000000000011</v>
      </c>
      <c r="P5" s="10">
        <f t="shared" ref="P5:P10" si="1">N5*1.1</f>
        <v>66</v>
      </c>
      <c r="Q5" s="11">
        <f>IF($M$3&gt;=10,10,$M$3)</f>
        <v>10</v>
      </c>
      <c r="R5" s="6">
        <f>Q5*N5</f>
        <v>600</v>
      </c>
      <c r="S5" s="6">
        <f>Q5*O5</f>
        <v>648.00000000000011</v>
      </c>
      <c r="T5" s="6">
        <f>Q5*P5</f>
        <v>660</v>
      </c>
      <c r="U5" s="35"/>
    </row>
    <row r="6" spans="1:21" x14ac:dyDescent="0.4">
      <c r="A6" s="34"/>
      <c r="B6" s="3">
        <v>20</v>
      </c>
      <c r="C6" s="6">
        <v>700</v>
      </c>
      <c r="D6" s="6">
        <f t="shared" ref="D6:D14" si="2">C6*(1+$D$3)</f>
        <v>700</v>
      </c>
      <c r="E6" s="10">
        <f t="shared" ref="E6:E14" si="3">C6*(1+$E$3)</f>
        <v>770.00000000000011</v>
      </c>
      <c r="F6" s="11">
        <f t="shared" ref="F6:F14" si="4">IF($B$3=B6,1,"")</f>
        <v>1</v>
      </c>
      <c r="G6" s="6">
        <f t="shared" ref="G6:G14" si="5">IF(F6="","",F6*C6)</f>
        <v>700</v>
      </c>
      <c r="H6" s="6">
        <f t="shared" ref="H6:H14" si="6">IF(F6="","",F6*D6)</f>
        <v>700</v>
      </c>
      <c r="I6" s="6">
        <f t="shared" ref="I6:I14" si="7">IF(F6="","",E6*F6)</f>
        <v>770.00000000000011</v>
      </c>
      <c r="J6" s="35"/>
      <c r="K6" s="34"/>
      <c r="M6" s="1" t="s">
        <v>15</v>
      </c>
      <c r="N6" s="5">
        <f t="shared" ref="N6:N10" si="8">C20</f>
        <v>107</v>
      </c>
      <c r="O6" s="6">
        <f t="shared" si="0"/>
        <v>115.56</v>
      </c>
      <c r="P6" s="10">
        <f t="shared" si="1"/>
        <v>117.7</v>
      </c>
      <c r="Q6" s="11">
        <f>IF($M$3&gt;=20,10,IF(AND($M$3&gt;10,$M$3&lt;=20),$M$3-10,0))</f>
        <v>10</v>
      </c>
      <c r="R6" s="6">
        <f t="shared" ref="R6:R10" si="9">Q6*N6</f>
        <v>1070</v>
      </c>
      <c r="S6" s="6">
        <f t="shared" ref="S6:S10" si="10">Q6*O6</f>
        <v>1155.5999999999999</v>
      </c>
      <c r="T6" s="6">
        <f t="shared" ref="T6:T10" si="11">Q6*P6</f>
        <v>1177</v>
      </c>
      <c r="U6" s="35"/>
    </row>
    <row r="7" spans="1:21" x14ac:dyDescent="0.4">
      <c r="A7" s="34"/>
      <c r="B7" s="3">
        <v>25</v>
      </c>
      <c r="C7" s="6">
        <v>1000</v>
      </c>
      <c r="D7" s="6">
        <f t="shared" si="2"/>
        <v>1000</v>
      </c>
      <c r="E7" s="10">
        <f t="shared" si="3"/>
        <v>1100</v>
      </c>
      <c r="F7" s="11" t="str">
        <f t="shared" si="4"/>
        <v/>
      </c>
      <c r="G7" s="6" t="str">
        <f t="shared" si="5"/>
        <v/>
      </c>
      <c r="H7" s="6" t="str">
        <f t="shared" si="6"/>
        <v/>
      </c>
      <c r="I7" s="6" t="str">
        <f t="shared" si="7"/>
        <v/>
      </c>
      <c r="J7" s="35"/>
      <c r="K7" s="34"/>
      <c r="M7" s="1" t="s">
        <v>16</v>
      </c>
      <c r="N7" s="5">
        <f t="shared" si="8"/>
        <v>142</v>
      </c>
      <c r="O7" s="6">
        <f t="shared" si="0"/>
        <v>153.36000000000001</v>
      </c>
      <c r="P7" s="10">
        <f t="shared" si="1"/>
        <v>156.20000000000002</v>
      </c>
      <c r="Q7" s="11">
        <f>IF($M$3&gt;=50,30,IF(AND($M$3&gt;20,$M$3&lt;=50),$M$3-20,0))</f>
        <v>0</v>
      </c>
      <c r="R7" s="6">
        <f t="shared" si="9"/>
        <v>0</v>
      </c>
      <c r="S7" s="6">
        <f t="shared" si="10"/>
        <v>0</v>
      </c>
      <c r="T7" s="6">
        <f t="shared" si="11"/>
        <v>0</v>
      </c>
      <c r="U7" s="35"/>
    </row>
    <row r="8" spans="1:21" x14ac:dyDescent="0.4">
      <c r="A8" s="34"/>
      <c r="B8" s="3">
        <v>30</v>
      </c>
      <c r="C8" s="6">
        <v>2620</v>
      </c>
      <c r="D8" s="6">
        <f t="shared" si="2"/>
        <v>2620</v>
      </c>
      <c r="E8" s="10">
        <f t="shared" si="3"/>
        <v>2882.0000000000005</v>
      </c>
      <c r="F8" s="11" t="str">
        <f t="shared" si="4"/>
        <v/>
      </c>
      <c r="G8" s="6" t="str">
        <f t="shared" si="5"/>
        <v/>
      </c>
      <c r="H8" s="6" t="str">
        <f t="shared" si="6"/>
        <v/>
      </c>
      <c r="I8" s="6" t="str">
        <f t="shared" si="7"/>
        <v/>
      </c>
      <c r="J8" s="35"/>
      <c r="K8" s="34"/>
      <c r="M8" s="1" t="s">
        <v>17</v>
      </c>
      <c r="N8" s="5">
        <f t="shared" si="8"/>
        <v>164.99999999999997</v>
      </c>
      <c r="O8" s="6">
        <f t="shared" si="0"/>
        <v>178.2</v>
      </c>
      <c r="P8" s="10">
        <f t="shared" si="1"/>
        <v>181.49999999999997</v>
      </c>
      <c r="Q8" s="11">
        <f>IF($M$3&gt;=100,50,IF(AND($M$3&gt;50,$M$3&lt;=500),$M$3-50,0))</f>
        <v>0</v>
      </c>
      <c r="R8" s="6">
        <f t="shared" si="9"/>
        <v>0</v>
      </c>
      <c r="S8" s="6">
        <f t="shared" si="10"/>
        <v>0</v>
      </c>
      <c r="T8" s="6">
        <f t="shared" si="11"/>
        <v>0</v>
      </c>
      <c r="U8" s="35"/>
    </row>
    <row r="9" spans="1:21" x14ac:dyDescent="0.4">
      <c r="A9" s="34"/>
      <c r="B9" s="3">
        <v>40</v>
      </c>
      <c r="C9" s="6">
        <v>2620</v>
      </c>
      <c r="D9" s="6">
        <f t="shared" si="2"/>
        <v>2620</v>
      </c>
      <c r="E9" s="10">
        <f t="shared" si="3"/>
        <v>2882.0000000000005</v>
      </c>
      <c r="F9" s="11" t="str">
        <f t="shared" si="4"/>
        <v/>
      </c>
      <c r="G9" s="6" t="str">
        <f t="shared" si="5"/>
        <v/>
      </c>
      <c r="H9" s="6" t="str">
        <f t="shared" si="6"/>
        <v/>
      </c>
      <c r="I9" s="6" t="str">
        <f t="shared" si="7"/>
        <v/>
      </c>
      <c r="J9" s="35"/>
      <c r="K9" s="34"/>
      <c r="M9" s="1" t="s">
        <v>18</v>
      </c>
      <c r="N9" s="5">
        <f t="shared" si="8"/>
        <v>182.99999999999997</v>
      </c>
      <c r="O9" s="6">
        <f t="shared" si="0"/>
        <v>197.64</v>
      </c>
      <c r="P9" s="10">
        <f t="shared" si="1"/>
        <v>201.29999999999998</v>
      </c>
      <c r="Q9" s="11">
        <f>IF($M$3&gt;=500,400,IF(AND($M$3&gt;100,$M$3&lt;=500),$M$3-100,0))</f>
        <v>0</v>
      </c>
      <c r="R9" s="6">
        <f t="shared" si="9"/>
        <v>0</v>
      </c>
      <c r="S9" s="6">
        <f t="shared" si="10"/>
        <v>0</v>
      </c>
      <c r="T9" s="6">
        <f t="shared" si="11"/>
        <v>0</v>
      </c>
      <c r="U9" s="35"/>
    </row>
    <row r="10" spans="1:21" x14ac:dyDescent="0.4">
      <c r="A10" s="34"/>
      <c r="B10" s="3">
        <v>50</v>
      </c>
      <c r="C10" s="6">
        <v>5240</v>
      </c>
      <c r="D10" s="6">
        <f t="shared" si="2"/>
        <v>5240</v>
      </c>
      <c r="E10" s="10">
        <f t="shared" si="3"/>
        <v>5764.0000000000009</v>
      </c>
      <c r="F10" s="11" t="str">
        <f t="shared" si="4"/>
        <v/>
      </c>
      <c r="G10" s="6" t="str">
        <f t="shared" si="5"/>
        <v/>
      </c>
      <c r="H10" s="6" t="str">
        <f t="shared" si="6"/>
        <v/>
      </c>
      <c r="I10" s="6" t="str">
        <f t="shared" si="7"/>
        <v/>
      </c>
      <c r="J10" s="35"/>
      <c r="K10" s="34"/>
      <c r="M10" s="1" t="s">
        <v>2</v>
      </c>
      <c r="N10" s="5">
        <f t="shared" si="8"/>
        <v>194.99999999999997</v>
      </c>
      <c r="O10" s="6">
        <f t="shared" si="0"/>
        <v>210.6</v>
      </c>
      <c r="P10" s="10">
        <f t="shared" si="1"/>
        <v>214.5</v>
      </c>
      <c r="Q10" s="11">
        <f>IF($M$3&gt;500,$M$3-500,0)</f>
        <v>0</v>
      </c>
      <c r="R10" s="6">
        <f t="shared" si="9"/>
        <v>0</v>
      </c>
      <c r="S10" s="6">
        <f t="shared" si="10"/>
        <v>0</v>
      </c>
      <c r="T10" s="6">
        <f t="shared" si="11"/>
        <v>0</v>
      </c>
      <c r="U10" s="35"/>
    </row>
    <row r="11" spans="1:21" x14ac:dyDescent="0.4">
      <c r="A11" s="34"/>
      <c r="B11" s="3">
        <v>75</v>
      </c>
      <c r="C11" s="6">
        <v>10370</v>
      </c>
      <c r="D11" s="6">
        <f t="shared" si="2"/>
        <v>10370</v>
      </c>
      <c r="E11" s="10">
        <f t="shared" si="3"/>
        <v>11407.000000000002</v>
      </c>
      <c r="F11" s="11" t="str">
        <f t="shared" si="4"/>
        <v/>
      </c>
      <c r="G11" s="6" t="str">
        <f t="shared" si="5"/>
        <v/>
      </c>
      <c r="H11" s="6" t="str">
        <f t="shared" si="6"/>
        <v/>
      </c>
      <c r="I11" s="6" t="str">
        <f t="shared" si="7"/>
        <v/>
      </c>
      <c r="J11" s="35"/>
      <c r="K11" s="34"/>
      <c r="P11" s="9" t="s">
        <v>6</v>
      </c>
      <c r="Q11" s="1">
        <f>SUM(Q5:Q10)</f>
        <v>20</v>
      </c>
      <c r="R11" s="18">
        <f>SUM(R5:R10)</f>
        <v>1670</v>
      </c>
      <c r="S11" s="18">
        <f t="shared" ref="S11:T11" si="12">SUM(S5:S10)</f>
        <v>1803.6</v>
      </c>
      <c r="T11" s="18">
        <f t="shared" si="12"/>
        <v>1837</v>
      </c>
      <c r="U11" s="35"/>
    </row>
    <row r="12" spans="1:21" x14ac:dyDescent="0.4">
      <c r="A12" s="34"/>
      <c r="B12" s="3">
        <v>100</v>
      </c>
      <c r="C12" s="6">
        <v>18570</v>
      </c>
      <c r="D12" s="6">
        <f t="shared" si="2"/>
        <v>18570</v>
      </c>
      <c r="E12" s="10">
        <f t="shared" si="3"/>
        <v>20427</v>
      </c>
      <c r="F12" s="11" t="str">
        <f t="shared" si="4"/>
        <v/>
      </c>
      <c r="G12" s="6" t="str">
        <f t="shared" si="5"/>
        <v/>
      </c>
      <c r="H12" s="6" t="str">
        <f t="shared" si="6"/>
        <v/>
      </c>
      <c r="I12" s="6" t="str">
        <f t="shared" si="7"/>
        <v/>
      </c>
      <c r="J12" s="35"/>
      <c r="K12" s="34"/>
      <c r="P12" t="s">
        <v>22</v>
      </c>
      <c r="R12" s="19">
        <f>ROUNDDOWN(G15+R11,0)</f>
        <v>2370</v>
      </c>
      <c r="S12" s="19">
        <f>ROUNDDOWN(H15+S11,0)</f>
        <v>2503</v>
      </c>
      <c r="T12" s="19">
        <f>ROUNDDOWN(I15+T11,0)</f>
        <v>2607</v>
      </c>
      <c r="U12" s="35"/>
    </row>
    <row r="13" spans="1:21" x14ac:dyDescent="0.4">
      <c r="A13" s="34"/>
      <c r="B13" s="3">
        <v>150</v>
      </c>
      <c r="C13" s="6">
        <v>47020</v>
      </c>
      <c r="D13" s="6">
        <f t="shared" si="2"/>
        <v>47020</v>
      </c>
      <c r="E13" s="10">
        <f t="shared" si="3"/>
        <v>51722.000000000007</v>
      </c>
      <c r="F13" s="11" t="str">
        <f t="shared" si="4"/>
        <v/>
      </c>
      <c r="G13" s="6" t="str">
        <f t="shared" si="5"/>
        <v/>
      </c>
      <c r="H13" s="6" t="str">
        <f t="shared" si="6"/>
        <v/>
      </c>
      <c r="I13" s="6" t="str">
        <f t="shared" si="7"/>
        <v/>
      </c>
      <c r="J13" s="35"/>
      <c r="K13" s="34"/>
      <c r="U13" s="35"/>
    </row>
    <row r="14" spans="1:21" x14ac:dyDescent="0.4">
      <c r="A14" s="34"/>
      <c r="B14" s="3">
        <v>200</v>
      </c>
      <c r="C14" s="6">
        <v>47020</v>
      </c>
      <c r="D14" s="6">
        <f t="shared" si="2"/>
        <v>47020</v>
      </c>
      <c r="E14" s="10">
        <f t="shared" si="3"/>
        <v>51722.000000000007</v>
      </c>
      <c r="F14" s="11" t="str">
        <f t="shared" si="4"/>
        <v/>
      </c>
      <c r="G14" s="6" t="str">
        <f t="shared" si="5"/>
        <v/>
      </c>
      <c r="H14" s="6" t="str">
        <f t="shared" si="6"/>
        <v/>
      </c>
      <c r="I14" s="6" t="str">
        <f t="shared" si="7"/>
        <v/>
      </c>
      <c r="J14" s="35"/>
      <c r="K14" s="34"/>
      <c r="S14" s="44"/>
      <c r="T14" s="44"/>
      <c r="U14" s="35"/>
    </row>
    <row r="15" spans="1:21" x14ac:dyDescent="0.4">
      <c r="A15" s="34"/>
      <c r="B15" s="7"/>
      <c r="C15" s="8"/>
      <c r="D15" s="8"/>
      <c r="E15" s="8"/>
      <c r="F15" s="6">
        <f>SUM(F5:F14)</f>
        <v>1</v>
      </c>
      <c r="G15" s="18">
        <f>SUM(G5:G14)</f>
        <v>700</v>
      </c>
      <c r="H15" s="18">
        <f t="shared" ref="H15:I15" si="13">SUM(H5:H14)</f>
        <v>700</v>
      </c>
      <c r="I15" s="18">
        <f t="shared" si="13"/>
        <v>770.00000000000011</v>
      </c>
      <c r="J15" s="35"/>
      <c r="K15" s="34"/>
      <c r="L15" s="9"/>
      <c r="M15" s="30"/>
      <c r="N15" s="30"/>
      <c r="O15" s="30"/>
      <c r="P15" s="30"/>
      <c r="Q15" s="30"/>
      <c r="R15" s="30"/>
      <c r="S15" s="30"/>
      <c r="U15" s="35"/>
    </row>
    <row r="16" spans="1:21" ht="19.5" thickBot="1" x14ac:dyDescent="0.45">
      <c r="A16" s="36"/>
      <c r="B16" s="37"/>
      <c r="C16" s="38"/>
      <c r="D16" s="38"/>
      <c r="E16" s="38"/>
      <c r="F16" s="39"/>
      <c r="G16" s="39"/>
      <c r="H16" s="39"/>
      <c r="I16" s="39"/>
      <c r="J16" s="40"/>
      <c r="K16" s="34"/>
      <c r="U16" s="35"/>
    </row>
    <row r="17" spans="1:21" ht="19.5" thickBot="1" x14ac:dyDescent="0.45">
      <c r="A17" s="31" t="s">
        <v>12</v>
      </c>
      <c r="B17" s="55">
        <f>入力シート!E4</f>
        <v>40</v>
      </c>
      <c r="C17" s="32"/>
      <c r="D17" s="32"/>
      <c r="E17" s="32"/>
      <c r="F17" s="32"/>
      <c r="G17" s="32"/>
      <c r="H17" s="32"/>
      <c r="I17" s="32"/>
      <c r="J17" s="33"/>
      <c r="K17" s="34" t="s">
        <v>30</v>
      </c>
      <c r="L17" s="43" t="s">
        <v>12</v>
      </c>
      <c r="M17" s="55">
        <f>ROUNDDOWN(B17/2,0)</f>
        <v>20</v>
      </c>
      <c r="U17" s="35"/>
    </row>
    <row r="18" spans="1:21" x14ac:dyDescent="0.4">
      <c r="A18" s="34"/>
      <c r="B18" s="54" t="s">
        <v>5</v>
      </c>
      <c r="C18" s="14" t="s">
        <v>19</v>
      </c>
      <c r="D18" s="3" t="s">
        <v>44</v>
      </c>
      <c r="E18" s="16" t="s">
        <v>21</v>
      </c>
      <c r="F18" s="13" t="s">
        <v>5</v>
      </c>
      <c r="G18" s="3" t="s">
        <v>1</v>
      </c>
      <c r="H18" s="3" t="s">
        <v>8</v>
      </c>
      <c r="I18" s="3" t="s">
        <v>9</v>
      </c>
      <c r="J18" s="35"/>
      <c r="K18" s="63" t="s">
        <v>42</v>
      </c>
      <c r="M18" s="54" t="s">
        <v>5</v>
      </c>
      <c r="N18" s="14" t="s">
        <v>19</v>
      </c>
      <c r="O18" s="15" t="s">
        <v>20</v>
      </c>
      <c r="P18" s="16" t="s">
        <v>21</v>
      </c>
      <c r="Q18" s="13" t="s">
        <v>5</v>
      </c>
      <c r="R18" s="3" t="s">
        <v>1</v>
      </c>
      <c r="S18" s="3" t="s">
        <v>8</v>
      </c>
      <c r="T18" s="3" t="s">
        <v>9</v>
      </c>
      <c r="U18" s="35"/>
    </row>
    <row r="19" spans="1:21" x14ac:dyDescent="0.4">
      <c r="A19" s="34"/>
      <c r="B19" s="2" t="s">
        <v>14</v>
      </c>
      <c r="C19" s="5">
        <v>60</v>
      </c>
      <c r="D19" s="6">
        <f>C19*(1+$D$3)</f>
        <v>60</v>
      </c>
      <c r="E19" s="10">
        <f>ROUNDDOWN(C19*(1+$E$3),2)</f>
        <v>66</v>
      </c>
      <c r="F19" s="11">
        <f>IF($B$17&gt;=10,10,$B$17)</f>
        <v>10</v>
      </c>
      <c r="G19" s="6">
        <f>F19*C19</f>
        <v>600</v>
      </c>
      <c r="H19" s="6">
        <f>F19*D19</f>
        <v>600</v>
      </c>
      <c r="I19" s="6">
        <f>F19*E19</f>
        <v>660</v>
      </c>
      <c r="J19" s="35"/>
      <c r="K19" s="34"/>
      <c r="M19" s="2" t="s">
        <v>14</v>
      </c>
      <c r="N19" s="5">
        <v>59.999999999999993</v>
      </c>
      <c r="O19" s="6">
        <f t="shared" ref="O19:O24" si="14">N19*1.08</f>
        <v>64.8</v>
      </c>
      <c r="P19" s="10">
        <f t="shared" ref="P19:P24" si="15">N19*1.1</f>
        <v>66</v>
      </c>
      <c r="Q19" s="11">
        <f>IF($M$17&gt;=10,10,$M$17)</f>
        <v>10</v>
      </c>
      <c r="R19" s="6">
        <f>Q19*N19</f>
        <v>599.99999999999989</v>
      </c>
      <c r="S19" s="6">
        <f>Q19*O19</f>
        <v>648</v>
      </c>
      <c r="T19" s="6">
        <f>Q19*P19</f>
        <v>660</v>
      </c>
      <c r="U19" s="35"/>
    </row>
    <row r="20" spans="1:21" x14ac:dyDescent="0.4">
      <c r="A20" s="34"/>
      <c r="B20" s="1" t="s">
        <v>15</v>
      </c>
      <c r="C20" s="5">
        <v>107</v>
      </c>
      <c r="D20" s="6">
        <f t="shared" ref="D20:D24" si="16">C20*1.08</f>
        <v>115.56</v>
      </c>
      <c r="E20" s="10">
        <f t="shared" ref="E20:E24" si="17">ROUNDDOWN(C20*(1+$E$3),2)</f>
        <v>117.7</v>
      </c>
      <c r="F20" s="11">
        <f>IF($B$17&gt;=20,10,IF(AND($B$17&gt;10,$B$17&lt;=20),$B$17-10,0))</f>
        <v>10</v>
      </c>
      <c r="G20" s="6">
        <f t="shared" ref="G20:G24" si="18">F20*C20</f>
        <v>1070</v>
      </c>
      <c r="H20" s="6">
        <f t="shared" ref="H20:H24" si="19">F20*D20</f>
        <v>1155.5999999999999</v>
      </c>
      <c r="I20" s="6">
        <f t="shared" ref="I20:I24" si="20">F20*E20</f>
        <v>1177</v>
      </c>
      <c r="J20" s="35"/>
      <c r="K20" s="34"/>
      <c r="M20" s="1" t="s">
        <v>15</v>
      </c>
      <c r="N20" s="5">
        <v>107</v>
      </c>
      <c r="O20" s="6">
        <f t="shared" si="14"/>
        <v>115.56</v>
      </c>
      <c r="P20" s="10">
        <f t="shared" si="15"/>
        <v>117.7</v>
      </c>
      <c r="Q20" s="11">
        <f>IF($M$17&gt;=20,10,IF(AND($M$17&gt;10,$M$17&lt;=20),$M$17-10,0))</f>
        <v>10</v>
      </c>
      <c r="R20" s="6">
        <f t="shared" ref="R20:R24" si="21">Q20*N20</f>
        <v>1070</v>
      </c>
      <c r="S20" s="6">
        <f t="shared" ref="S20:S24" si="22">Q20*O20</f>
        <v>1155.5999999999999</v>
      </c>
      <c r="T20" s="6">
        <f t="shared" ref="T20:T24" si="23">Q20*P20</f>
        <v>1177</v>
      </c>
      <c r="U20" s="35"/>
    </row>
    <row r="21" spans="1:21" x14ac:dyDescent="0.4">
      <c r="A21" s="34"/>
      <c r="B21" s="1" t="s">
        <v>16</v>
      </c>
      <c r="C21" s="5">
        <v>142</v>
      </c>
      <c r="D21" s="6">
        <f t="shared" si="16"/>
        <v>153.36000000000001</v>
      </c>
      <c r="E21" s="10">
        <f t="shared" si="17"/>
        <v>156.19999999999999</v>
      </c>
      <c r="F21" s="11">
        <f>IF($B$17&gt;=50,30,IF(AND($B$17&gt;20,$B$17&lt;=50),$B$17-20,0))</f>
        <v>20</v>
      </c>
      <c r="G21" s="6">
        <f t="shared" si="18"/>
        <v>2840</v>
      </c>
      <c r="H21" s="6">
        <f t="shared" si="19"/>
        <v>3067.2000000000003</v>
      </c>
      <c r="I21" s="6">
        <f t="shared" si="20"/>
        <v>3124</v>
      </c>
      <c r="J21" s="35"/>
      <c r="K21" s="34"/>
      <c r="M21" s="1" t="s">
        <v>16</v>
      </c>
      <c r="N21" s="5">
        <v>142</v>
      </c>
      <c r="O21" s="6">
        <f t="shared" si="14"/>
        <v>153.36000000000001</v>
      </c>
      <c r="P21" s="10">
        <f t="shared" si="15"/>
        <v>156.20000000000002</v>
      </c>
      <c r="Q21" s="11">
        <f>IF($M$17&gt;=50,30,IF(AND($M$17&gt;20,$M$17&lt;=50),$M$17-20,0))</f>
        <v>0</v>
      </c>
      <c r="R21" s="6">
        <f t="shared" si="21"/>
        <v>0</v>
      </c>
      <c r="S21" s="6">
        <f t="shared" si="22"/>
        <v>0</v>
      </c>
      <c r="T21" s="6">
        <f t="shared" si="23"/>
        <v>0</v>
      </c>
      <c r="U21" s="35"/>
    </row>
    <row r="22" spans="1:21" x14ac:dyDescent="0.4">
      <c r="A22" s="34"/>
      <c r="B22" s="1" t="s">
        <v>17</v>
      </c>
      <c r="C22" s="5">
        <v>164.99999999999997</v>
      </c>
      <c r="D22" s="6">
        <f t="shared" si="16"/>
        <v>178.2</v>
      </c>
      <c r="E22" s="10">
        <f t="shared" si="17"/>
        <v>181.5</v>
      </c>
      <c r="F22" s="11">
        <f>IF($B$17&gt;=100,50,IF(AND($B$17&gt;50,$B$17&lt;=500),$B$17-50,0))</f>
        <v>0</v>
      </c>
      <c r="G22" s="6">
        <f t="shared" si="18"/>
        <v>0</v>
      </c>
      <c r="H22" s="6">
        <f t="shared" si="19"/>
        <v>0</v>
      </c>
      <c r="I22" s="6">
        <f t="shared" si="20"/>
        <v>0</v>
      </c>
      <c r="J22" s="35"/>
      <c r="K22" s="34"/>
      <c r="M22" s="1" t="s">
        <v>17</v>
      </c>
      <c r="N22" s="5">
        <v>164.99999999999997</v>
      </c>
      <c r="O22" s="6">
        <f t="shared" si="14"/>
        <v>178.2</v>
      </c>
      <c r="P22" s="10">
        <f t="shared" si="15"/>
        <v>181.49999999999997</v>
      </c>
      <c r="Q22" s="11">
        <f>IF($M$17&gt;=100,50,IF(AND($M$17&gt;50,$M$17&lt;=500),$M$17-50,0))</f>
        <v>0</v>
      </c>
      <c r="R22" s="6">
        <f t="shared" si="21"/>
        <v>0</v>
      </c>
      <c r="S22" s="6">
        <f t="shared" si="22"/>
        <v>0</v>
      </c>
      <c r="T22" s="6">
        <f t="shared" si="23"/>
        <v>0</v>
      </c>
      <c r="U22" s="35"/>
    </row>
    <row r="23" spans="1:21" x14ac:dyDescent="0.4">
      <c r="A23" s="34"/>
      <c r="B23" s="1" t="s">
        <v>18</v>
      </c>
      <c r="C23" s="5">
        <v>182.99999999999997</v>
      </c>
      <c r="D23" s="6">
        <f t="shared" si="16"/>
        <v>197.64</v>
      </c>
      <c r="E23" s="10">
        <f t="shared" si="17"/>
        <v>201.3</v>
      </c>
      <c r="F23" s="11">
        <f>IF($B$17&gt;=500,400,IF(AND($B$17&gt;100,$B$17&lt;=500),$B$17-100,0))</f>
        <v>0</v>
      </c>
      <c r="G23" s="6">
        <f t="shared" si="18"/>
        <v>0</v>
      </c>
      <c r="H23" s="6">
        <f t="shared" si="19"/>
        <v>0</v>
      </c>
      <c r="I23" s="6">
        <f t="shared" si="20"/>
        <v>0</v>
      </c>
      <c r="J23" s="35"/>
      <c r="K23" s="34"/>
      <c r="M23" s="1" t="s">
        <v>18</v>
      </c>
      <c r="N23" s="5">
        <v>182.99999999999997</v>
      </c>
      <c r="O23" s="6">
        <f t="shared" si="14"/>
        <v>197.64</v>
      </c>
      <c r="P23" s="10">
        <f t="shared" si="15"/>
        <v>201.29999999999998</v>
      </c>
      <c r="Q23" s="11">
        <f>IF($M$17&gt;=500,400,IF(AND($M$17&gt;100,$M$17&lt;=500),$M$17-100,0))</f>
        <v>0</v>
      </c>
      <c r="R23" s="6">
        <f t="shared" si="21"/>
        <v>0</v>
      </c>
      <c r="S23" s="6">
        <f t="shared" si="22"/>
        <v>0</v>
      </c>
      <c r="T23" s="6">
        <f t="shared" si="23"/>
        <v>0</v>
      </c>
      <c r="U23" s="35"/>
    </row>
    <row r="24" spans="1:21" x14ac:dyDescent="0.4">
      <c r="A24" s="34"/>
      <c r="B24" s="1" t="s">
        <v>2</v>
      </c>
      <c r="C24" s="5">
        <v>194.99999999999997</v>
      </c>
      <c r="D24" s="6">
        <f t="shared" si="16"/>
        <v>210.6</v>
      </c>
      <c r="E24" s="10">
        <f t="shared" si="17"/>
        <v>214.5</v>
      </c>
      <c r="F24" s="11">
        <f>IF($B$17&gt;500,$B$17-500,0)</f>
        <v>0</v>
      </c>
      <c r="G24" s="6">
        <f t="shared" si="18"/>
        <v>0</v>
      </c>
      <c r="H24" s="6">
        <f t="shared" si="19"/>
        <v>0</v>
      </c>
      <c r="I24" s="6">
        <f t="shared" si="20"/>
        <v>0</v>
      </c>
      <c r="J24" s="35"/>
      <c r="K24" s="34"/>
      <c r="M24" s="1" t="s">
        <v>2</v>
      </c>
      <c r="N24" s="5">
        <v>194.99999999999997</v>
      </c>
      <c r="O24" s="6">
        <f t="shared" si="14"/>
        <v>210.6</v>
      </c>
      <c r="P24" s="10">
        <f t="shared" si="15"/>
        <v>214.5</v>
      </c>
      <c r="Q24" s="11">
        <f>IF($M$17&gt;500,$M$17-500,0)</f>
        <v>0</v>
      </c>
      <c r="R24" s="6">
        <f t="shared" si="21"/>
        <v>0</v>
      </c>
      <c r="S24" s="6">
        <f t="shared" si="22"/>
        <v>0</v>
      </c>
      <c r="T24" s="6">
        <f t="shared" si="23"/>
        <v>0</v>
      </c>
      <c r="U24" s="35"/>
    </row>
    <row r="25" spans="1:21" x14ac:dyDescent="0.4">
      <c r="A25" s="34"/>
      <c r="E25" s="9" t="s">
        <v>6</v>
      </c>
      <c r="F25" s="1">
        <f>SUM(F19:F24)</f>
        <v>40</v>
      </c>
      <c r="G25" s="18">
        <f>SUM(G19:G24)</f>
        <v>4510</v>
      </c>
      <c r="H25" s="18">
        <f>SUM(H19:H24)</f>
        <v>4822.8</v>
      </c>
      <c r="I25" s="18">
        <f>SUM(I19:I24)</f>
        <v>4961</v>
      </c>
      <c r="J25" s="35"/>
      <c r="K25" s="34"/>
      <c r="P25" s="9" t="s">
        <v>6</v>
      </c>
      <c r="Q25" s="1">
        <f>SUM(Q19:Q24)</f>
        <v>20</v>
      </c>
      <c r="R25" s="18">
        <f>SUM(R19:R24)</f>
        <v>1670</v>
      </c>
      <c r="S25" s="18">
        <f>SUM(S19:S24)</f>
        <v>1803.6</v>
      </c>
      <c r="T25" s="18">
        <f>SUM(T19:T24)</f>
        <v>1837</v>
      </c>
      <c r="U25" s="35"/>
    </row>
    <row r="26" spans="1:21" x14ac:dyDescent="0.4">
      <c r="A26" s="34"/>
      <c r="H26" s="42"/>
      <c r="I26" s="42"/>
      <c r="J26" s="35"/>
      <c r="K26" s="34"/>
      <c r="P26" t="s">
        <v>22</v>
      </c>
      <c r="R26" s="19">
        <f>ROUNDDOWN(G15+R25,0)</f>
        <v>2370</v>
      </c>
      <c r="S26" s="19">
        <f>ROUNDDOWN(H15+S25,0)</f>
        <v>2503</v>
      </c>
      <c r="T26" s="19">
        <f>ROUNDDOWN(I15+T25,0)</f>
        <v>2607</v>
      </c>
      <c r="U26" s="35"/>
    </row>
    <row r="27" spans="1:21" x14ac:dyDescent="0.4">
      <c r="A27" s="34"/>
      <c r="E27" t="s">
        <v>22</v>
      </c>
      <c r="G27" s="19">
        <f>G15+G25</f>
        <v>5210</v>
      </c>
      <c r="H27" s="19">
        <f>H15+H25</f>
        <v>5522.8</v>
      </c>
      <c r="I27" s="19">
        <f>I15+I25</f>
        <v>5731</v>
      </c>
      <c r="J27" s="35"/>
      <c r="K27" s="34"/>
      <c r="U27" s="35"/>
    </row>
    <row r="28" spans="1:21" x14ac:dyDescent="0.4">
      <c r="A28" s="34"/>
      <c r="E28" t="s">
        <v>45</v>
      </c>
      <c r="H28" s="20">
        <f>ROUNDDOWN(H27,0)</f>
        <v>5522</v>
      </c>
      <c r="I28" s="20">
        <f>ROUNDDOWN(I27,0)</f>
        <v>5731</v>
      </c>
      <c r="J28" s="35"/>
      <c r="K28" s="34"/>
      <c r="P28" t="s">
        <v>31</v>
      </c>
      <c r="R28" s="19">
        <f>R12+R26</f>
        <v>4740</v>
      </c>
      <c r="S28" s="19">
        <f>S12+S26</f>
        <v>5006</v>
      </c>
      <c r="T28" s="19">
        <f>T12+T26</f>
        <v>5214</v>
      </c>
      <c r="U28" s="35"/>
    </row>
    <row r="29" spans="1:21" ht="19.5" thickBot="1" x14ac:dyDescent="0.45">
      <c r="A29" s="36"/>
      <c r="B29" s="39"/>
      <c r="C29" s="39"/>
      <c r="D29" s="39"/>
      <c r="E29" s="39"/>
      <c r="F29" s="39"/>
      <c r="G29" s="39"/>
      <c r="H29" s="39"/>
      <c r="I29" s="39"/>
      <c r="J29" s="40"/>
      <c r="K29" s="36"/>
      <c r="L29" s="39"/>
      <c r="M29" s="39"/>
      <c r="N29" s="39"/>
      <c r="O29" s="39"/>
      <c r="P29" s="39" t="s">
        <v>32</v>
      </c>
      <c r="Q29" s="39"/>
      <c r="R29" s="45">
        <f>ROUNDDOWN(R28,0)</f>
        <v>4740</v>
      </c>
      <c r="S29" s="45">
        <f>ROUNDDOWN(S28,0)</f>
        <v>5006</v>
      </c>
      <c r="T29" s="45">
        <f>ROUNDDOWN(T28,0)</f>
        <v>5214</v>
      </c>
      <c r="U29" s="40"/>
    </row>
    <row r="30" spans="1:21" x14ac:dyDescent="0.4">
      <c r="A30" t="s">
        <v>39</v>
      </c>
    </row>
    <row r="31" spans="1:21" ht="19.5" thickBot="1" x14ac:dyDescent="0.45"/>
    <row r="32" spans="1:21" ht="19.5" thickBot="1" x14ac:dyDescent="0.45">
      <c r="A32" s="41" t="s">
        <v>0</v>
      </c>
      <c r="B32" s="32"/>
      <c r="C32" s="32"/>
      <c r="D32" s="32"/>
      <c r="E32" s="32"/>
      <c r="F32" s="32"/>
      <c r="G32" s="32"/>
      <c r="H32" s="32"/>
      <c r="I32" s="32"/>
      <c r="J32" s="33"/>
      <c r="K32" s="41" t="s">
        <v>43</v>
      </c>
      <c r="L32" s="32"/>
      <c r="M32" s="32"/>
      <c r="N32" s="32"/>
      <c r="O32" s="32"/>
      <c r="P32" s="32"/>
      <c r="Q32" s="32"/>
      <c r="R32" s="32"/>
      <c r="S32" s="32"/>
      <c r="T32" s="32"/>
      <c r="U32" s="33"/>
    </row>
    <row r="33" spans="1:21" ht="19.5" thickBot="1" x14ac:dyDescent="0.45">
      <c r="A33" s="34" t="s">
        <v>13</v>
      </c>
      <c r="B33" s="55">
        <f>入力シート!C4</f>
        <v>20</v>
      </c>
      <c r="J33" s="35"/>
      <c r="K33" s="34" t="s">
        <v>30</v>
      </c>
      <c r="L33" s="43" t="s">
        <v>12</v>
      </c>
      <c r="M33" s="55">
        <f>ROUNDUP(B47/2,0)</f>
        <v>20</v>
      </c>
      <c r="U33" s="35"/>
    </row>
    <row r="34" spans="1:21" x14ac:dyDescent="0.4">
      <c r="A34" s="34"/>
      <c r="B34" s="54" t="s">
        <v>4</v>
      </c>
      <c r="C34" s="3" t="s">
        <v>1</v>
      </c>
      <c r="D34" s="3" t="s">
        <v>8</v>
      </c>
      <c r="E34" s="12" t="s">
        <v>9</v>
      </c>
      <c r="F34" s="13" t="s">
        <v>10</v>
      </c>
      <c r="G34" s="3" t="s">
        <v>1</v>
      </c>
      <c r="H34" s="17">
        <v>0.08</v>
      </c>
      <c r="I34" s="17">
        <v>0.1</v>
      </c>
      <c r="J34" s="35"/>
      <c r="K34" s="63" t="s">
        <v>41</v>
      </c>
      <c r="M34" s="54" t="s">
        <v>5</v>
      </c>
      <c r="N34" s="14" t="s">
        <v>19</v>
      </c>
      <c r="O34" s="15" t="s">
        <v>20</v>
      </c>
      <c r="P34" s="16" t="s">
        <v>21</v>
      </c>
      <c r="Q34" s="13" t="s">
        <v>5</v>
      </c>
      <c r="R34" s="3" t="s">
        <v>1</v>
      </c>
      <c r="S34" s="3" t="s">
        <v>8</v>
      </c>
      <c r="T34" s="3" t="s">
        <v>9</v>
      </c>
      <c r="U34" s="35"/>
    </row>
    <row r="35" spans="1:21" x14ac:dyDescent="0.4">
      <c r="A35" s="34"/>
      <c r="B35" s="3">
        <v>13</v>
      </c>
      <c r="C35" s="6">
        <v>700</v>
      </c>
      <c r="D35" s="6"/>
      <c r="E35" s="10">
        <f>C35*1.1</f>
        <v>770.00000000000011</v>
      </c>
      <c r="F35" s="11">
        <f>IF(入力シート!$C$4=13,1,0)</f>
        <v>0</v>
      </c>
      <c r="G35" s="6">
        <f>F35*C35</f>
        <v>0</v>
      </c>
      <c r="H35" s="6">
        <f>F35*D35</f>
        <v>0</v>
      </c>
      <c r="I35" s="6">
        <f>E35*F35</f>
        <v>0</v>
      </c>
      <c r="J35" s="35"/>
      <c r="K35" s="34"/>
      <c r="M35" s="2" t="s">
        <v>14</v>
      </c>
      <c r="N35" s="5">
        <v>59.999999999999993</v>
      </c>
      <c r="O35" s="6"/>
      <c r="P35" s="10">
        <f t="shared" ref="P35:P40" si="24">N35*1.1</f>
        <v>66</v>
      </c>
      <c r="Q35" s="11">
        <f>IF($M$3&gt;=10,10,$M$3)</f>
        <v>10</v>
      </c>
      <c r="R35" s="6">
        <f>Q35*N35</f>
        <v>599.99999999999989</v>
      </c>
      <c r="S35" s="6">
        <f>Q35*O35</f>
        <v>0</v>
      </c>
      <c r="T35" s="6">
        <f>Q35*P35</f>
        <v>660</v>
      </c>
      <c r="U35" s="35"/>
    </row>
    <row r="36" spans="1:21" x14ac:dyDescent="0.4">
      <c r="A36" s="34"/>
      <c r="B36" s="3">
        <v>20</v>
      </c>
      <c r="C36" s="6">
        <v>700</v>
      </c>
      <c r="D36" s="6"/>
      <c r="E36" s="10">
        <f>C36*1.1</f>
        <v>770.00000000000011</v>
      </c>
      <c r="F36" s="11">
        <f>IF(入力シート!$C$4=20,1,0)</f>
        <v>1</v>
      </c>
      <c r="G36" s="6">
        <f t="shared" ref="G36:G44" si="25">F36*C36</f>
        <v>700</v>
      </c>
      <c r="H36" s="6">
        <f t="shared" ref="H36:H44" si="26">F36*D36</f>
        <v>0</v>
      </c>
      <c r="I36" s="6">
        <f t="shared" ref="I36:I44" si="27">E36*F36</f>
        <v>770.00000000000011</v>
      </c>
      <c r="J36" s="35"/>
      <c r="K36" s="34"/>
      <c r="M36" s="1" t="s">
        <v>15</v>
      </c>
      <c r="N36" s="5">
        <v>107</v>
      </c>
      <c r="O36" s="6"/>
      <c r="P36" s="10">
        <f t="shared" si="24"/>
        <v>117.7</v>
      </c>
      <c r="Q36" s="11">
        <f>IF($M$3&gt;=20,10,IF(AND($M$3&gt;10,$M$3&lt;=20),$M$3-10,0))</f>
        <v>10</v>
      </c>
      <c r="R36" s="6">
        <f t="shared" ref="R36:R40" si="28">Q36*N36</f>
        <v>1070</v>
      </c>
      <c r="S36" s="6">
        <f t="shared" ref="S36:S40" si="29">Q36*O36</f>
        <v>0</v>
      </c>
      <c r="T36" s="6">
        <f t="shared" ref="T36:T40" si="30">Q36*P36</f>
        <v>1177</v>
      </c>
      <c r="U36" s="35"/>
    </row>
    <row r="37" spans="1:21" x14ac:dyDescent="0.4">
      <c r="A37" s="34"/>
      <c r="B37" s="3">
        <v>25</v>
      </c>
      <c r="C37" s="6">
        <v>1000</v>
      </c>
      <c r="D37" s="6"/>
      <c r="E37" s="10">
        <f t="shared" ref="E37:E44" si="31">C37*1.1</f>
        <v>1100</v>
      </c>
      <c r="F37" s="11">
        <f>IF(入力シート!$C$4=25,1,0)</f>
        <v>0</v>
      </c>
      <c r="G37" s="6">
        <f t="shared" si="25"/>
        <v>0</v>
      </c>
      <c r="H37" s="6">
        <f t="shared" si="26"/>
        <v>0</v>
      </c>
      <c r="I37" s="6">
        <f t="shared" si="27"/>
        <v>0</v>
      </c>
      <c r="J37" s="35"/>
      <c r="K37" s="34"/>
      <c r="M37" s="1" t="s">
        <v>16</v>
      </c>
      <c r="N37" s="5">
        <v>142</v>
      </c>
      <c r="O37" s="6"/>
      <c r="P37" s="10">
        <f t="shared" si="24"/>
        <v>156.20000000000002</v>
      </c>
      <c r="Q37" s="11">
        <f>IF($M$3&gt;=50,30,IF(AND($M$3&gt;20,$M$3&lt;=50),$M$3-20,0))</f>
        <v>0</v>
      </c>
      <c r="R37" s="6">
        <f t="shared" si="28"/>
        <v>0</v>
      </c>
      <c r="S37" s="6">
        <f t="shared" si="29"/>
        <v>0</v>
      </c>
      <c r="T37" s="6">
        <f t="shared" si="30"/>
        <v>0</v>
      </c>
      <c r="U37" s="35"/>
    </row>
    <row r="38" spans="1:21" x14ac:dyDescent="0.4">
      <c r="A38" s="34"/>
      <c r="B38" s="3">
        <v>30</v>
      </c>
      <c r="C38" s="85">
        <v>2620</v>
      </c>
      <c r="D38" s="6"/>
      <c r="E38" s="86">
        <f t="shared" si="31"/>
        <v>2882.0000000000005</v>
      </c>
      <c r="F38" s="11">
        <f>IF(入力シート!$C$4=30,1,0)</f>
        <v>0</v>
      </c>
      <c r="G38" s="6">
        <f t="shared" si="25"/>
        <v>0</v>
      </c>
      <c r="H38" s="6">
        <f t="shared" si="26"/>
        <v>0</v>
      </c>
      <c r="I38" s="6">
        <f t="shared" si="27"/>
        <v>0</v>
      </c>
      <c r="J38" s="35"/>
      <c r="K38" s="34"/>
      <c r="M38" s="1" t="s">
        <v>17</v>
      </c>
      <c r="N38" s="5">
        <v>164.99999999999997</v>
      </c>
      <c r="O38" s="6"/>
      <c r="P38" s="10">
        <f t="shared" si="24"/>
        <v>181.49999999999997</v>
      </c>
      <c r="Q38" s="11">
        <f>IF($M$3&gt;=100,50,IF(AND($M$3&gt;50,$M$3&lt;=500),$M$3-50,0))</f>
        <v>0</v>
      </c>
      <c r="R38" s="6">
        <f t="shared" si="28"/>
        <v>0</v>
      </c>
      <c r="S38" s="6">
        <f t="shared" si="29"/>
        <v>0</v>
      </c>
      <c r="T38" s="6">
        <f t="shared" si="30"/>
        <v>0</v>
      </c>
      <c r="U38" s="35"/>
    </row>
    <row r="39" spans="1:21" x14ac:dyDescent="0.4">
      <c r="A39" s="34"/>
      <c r="B39" s="3">
        <v>40</v>
      </c>
      <c r="C39" s="85">
        <v>2620</v>
      </c>
      <c r="D39" s="6"/>
      <c r="E39" s="86">
        <f t="shared" si="31"/>
        <v>2882.0000000000005</v>
      </c>
      <c r="F39" s="11">
        <f>IF(入力シート!$C$4=40,1,0)</f>
        <v>0</v>
      </c>
      <c r="G39" s="6">
        <f t="shared" si="25"/>
        <v>0</v>
      </c>
      <c r="H39" s="6">
        <f t="shared" si="26"/>
        <v>0</v>
      </c>
      <c r="I39" s="6">
        <f t="shared" si="27"/>
        <v>0</v>
      </c>
      <c r="J39" s="35"/>
      <c r="K39" s="34"/>
      <c r="M39" s="1" t="s">
        <v>18</v>
      </c>
      <c r="N39" s="5">
        <v>182.99999999999997</v>
      </c>
      <c r="O39" s="6"/>
      <c r="P39" s="10">
        <f t="shared" si="24"/>
        <v>201.29999999999998</v>
      </c>
      <c r="Q39" s="11">
        <f>IF($M$3&gt;=500,400,IF(AND($M$3&gt;100,$M$3&lt;=500),$M$3-100,0))</f>
        <v>0</v>
      </c>
      <c r="R39" s="6">
        <f t="shared" si="28"/>
        <v>0</v>
      </c>
      <c r="S39" s="6">
        <f t="shared" si="29"/>
        <v>0</v>
      </c>
      <c r="T39" s="6">
        <f t="shared" si="30"/>
        <v>0</v>
      </c>
      <c r="U39" s="35"/>
    </row>
    <row r="40" spans="1:21" x14ac:dyDescent="0.4">
      <c r="A40" s="34"/>
      <c r="B40" s="3">
        <v>50</v>
      </c>
      <c r="C40" s="85">
        <v>5240</v>
      </c>
      <c r="D40" s="6"/>
      <c r="E40" s="86">
        <f t="shared" si="31"/>
        <v>5764.0000000000009</v>
      </c>
      <c r="F40" s="11">
        <f>IF(入力シート!$C$4=50,1,0)</f>
        <v>0</v>
      </c>
      <c r="G40" s="6">
        <f t="shared" si="25"/>
        <v>0</v>
      </c>
      <c r="H40" s="6">
        <f t="shared" si="26"/>
        <v>0</v>
      </c>
      <c r="I40" s="6">
        <f t="shared" si="27"/>
        <v>0</v>
      </c>
      <c r="J40" s="35"/>
      <c r="K40" s="34"/>
      <c r="M40" s="1" t="s">
        <v>2</v>
      </c>
      <c r="N40" s="5">
        <v>194.99999999999997</v>
      </c>
      <c r="O40" s="6"/>
      <c r="P40" s="10">
        <f t="shared" si="24"/>
        <v>214.5</v>
      </c>
      <c r="Q40" s="11">
        <f>IF($M$3&gt;500,$M$3-500,0)</f>
        <v>0</v>
      </c>
      <c r="R40" s="6">
        <f t="shared" si="28"/>
        <v>0</v>
      </c>
      <c r="S40" s="6">
        <f t="shared" si="29"/>
        <v>0</v>
      </c>
      <c r="T40" s="6">
        <f t="shared" si="30"/>
        <v>0</v>
      </c>
      <c r="U40" s="35"/>
    </row>
    <row r="41" spans="1:21" x14ac:dyDescent="0.4">
      <c r="A41" s="34"/>
      <c r="B41" s="3">
        <v>75</v>
      </c>
      <c r="C41" s="85">
        <v>10370</v>
      </c>
      <c r="D41" s="6"/>
      <c r="E41" s="86">
        <f t="shared" si="31"/>
        <v>11407.000000000002</v>
      </c>
      <c r="F41" s="11">
        <f>IF(入力シート!$C$4=75,1,0)</f>
        <v>0</v>
      </c>
      <c r="G41" s="6">
        <f t="shared" si="25"/>
        <v>0</v>
      </c>
      <c r="H41" s="6">
        <f t="shared" si="26"/>
        <v>0</v>
      </c>
      <c r="I41" s="6">
        <f t="shared" si="27"/>
        <v>0</v>
      </c>
      <c r="J41" s="35"/>
      <c r="K41" s="34"/>
      <c r="P41" s="9" t="s">
        <v>6</v>
      </c>
      <c r="Q41" s="1">
        <f>SUM(Q35:Q40)</f>
        <v>20</v>
      </c>
      <c r="R41" s="18">
        <f>SUM(R35:R40)</f>
        <v>1670</v>
      </c>
      <c r="S41" s="18">
        <f t="shared" ref="S41:T41" si="32">SUM(S35:S40)</f>
        <v>0</v>
      </c>
      <c r="T41" s="18">
        <f t="shared" si="32"/>
        <v>1837</v>
      </c>
      <c r="U41" s="35"/>
    </row>
    <row r="42" spans="1:21" x14ac:dyDescent="0.4">
      <c r="A42" s="34"/>
      <c r="B42" s="3">
        <v>100</v>
      </c>
      <c r="C42" s="85">
        <v>18570</v>
      </c>
      <c r="D42" s="6"/>
      <c r="E42" s="86">
        <f t="shared" si="31"/>
        <v>20427</v>
      </c>
      <c r="F42" s="11">
        <f>IF(入力シート!$C$4=100,1,0)</f>
        <v>0</v>
      </c>
      <c r="G42" s="6">
        <f t="shared" si="25"/>
        <v>0</v>
      </c>
      <c r="H42" s="6">
        <f t="shared" si="26"/>
        <v>0</v>
      </c>
      <c r="I42" s="6">
        <f t="shared" si="27"/>
        <v>0</v>
      </c>
      <c r="J42" s="35"/>
      <c r="K42" s="34"/>
      <c r="P42" t="s">
        <v>22</v>
      </c>
      <c r="R42" s="19">
        <f>ROUNDDOWN(G45+R41,0)</f>
        <v>2370</v>
      </c>
      <c r="S42" s="19">
        <f>ROUNDDOWN(H45+S41,0)</f>
        <v>0</v>
      </c>
      <c r="T42" s="19">
        <f>ROUNDDOWN(I45+T41,0)</f>
        <v>2607</v>
      </c>
      <c r="U42" s="35"/>
    </row>
    <row r="43" spans="1:21" x14ac:dyDescent="0.4">
      <c r="A43" s="34"/>
      <c r="B43" s="3">
        <v>150</v>
      </c>
      <c r="C43" s="85">
        <v>47020</v>
      </c>
      <c r="D43" s="6"/>
      <c r="E43" s="86">
        <f t="shared" si="31"/>
        <v>51722.000000000007</v>
      </c>
      <c r="F43" s="11">
        <f>IF(入力シート!$C$4=150,1,0)</f>
        <v>0</v>
      </c>
      <c r="G43" s="6">
        <f t="shared" si="25"/>
        <v>0</v>
      </c>
      <c r="H43" s="6">
        <f t="shared" si="26"/>
        <v>0</v>
      </c>
      <c r="I43" s="6">
        <f t="shared" si="27"/>
        <v>0</v>
      </c>
      <c r="J43" s="35"/>
      <c r="K43" s="34"/>
      <c r="U43" s="35"/>
    </row>
    <row r="44" spans="1:21" x14ac:dyDescent="0.4">
      <c r="A44" s="34"/>
      <c r="B44" s="3">
        <v>200</v>
      </c>
      <c r="C44" s="85">
        <v>47020</v>
      </c>
      <c r="D44" s="6"/>
      <c r="E44" s="86">
        <f t="shared" si="31"/>
        <v>51722.000000000007</v>
      </c>
      <c r="F44" s="11">
        <f>IF(入力シート!$C$4=200,1,0)</f>
        <v>0</v>
      </c>
      <c r="G44" s="6">
        <f t="shared" si="25"/>
        <v>0</v>
      </c>
      <c r="H44" s="6">
        <f t="shared" si="26"/>
        <v>0</v>
      </c>
      <c r="I44" s="6">
        <f t="shared" si="27"/>
        <v>0</v>
      </c>
      <c r="J44" s="35"/>
      <c r="K44" s="34"/>
      <c r="S44" s="44"/>
      <c r="T44" s="44"/>
      <c r="U44" s="35"/>
    </row>
    <row r="45" spans="1:21" x14ac:dyDescent="0.4">
      <c r="A45" s="34"/>
      <c r="B45" s="9"/>
      <c r="C45" s="8"/>
      <c r="D45" s="8"/>
      <c r="E45" s="8"/>
      <c r="F45" s="6">
        <f>SUM(F35:F44)</f>
        <v>1</v>
      </c>
      <c r="G45" s="18">
        <f>SUM(G35:G44)</f>
        <v>700</v>
      </c>
      <c r="H45" s="18">
        <f t="shared" ref="H45:I45" si="33">SUM(H35:H44)</f>
        <v>0</v>
      </c>
      <c r="I45" s="18">
        <f t="shared" si="33"/>
        <v>770.00000000000011</v>
      </c>
      <c r="J45" s="35"/>
      <c r="K45" s="34"/>
      <c r="L45" s="9"/>
      <c r="M45" s="30"/>
      <c r="N45" s="30"/>
      <c r="O45" s="30"/>
      <c r="P45" s="30"/>
      <c r="Q45" s="30"/>
      <c r="R45" s="30"/>
      <c r="S45" s="30"/>
      <c r="U45" s="35"/>
    </row>
    <row r="46" spans="1:21" ht="19.5" thickBot="1" x14ac:dyDescent="0.45">
      <c r="A46" s="36"/>
      <c r="B46" s="37"/>
      <c r="C46" s="38"/>
      <c r="D46" s="38"/>
      <c r="E46" s="38"/>
      <c r="F46" s="39"/>
      <c r="G46" s="39"/>
      <c r="H46" s="39"/>
      <c r="I46" s="39"/>
      <c r="J46" s="40"/>
      <c r="K46" s="34"/>
      <c r="U46" s="35"/>
    </row>
    <row r="47" spans="1:21" ht="19.5" thickBot="1" x14ac:dyDescent="0.45">
      <c r="A47" s="31" t="s">
        <v>12</v>
      </c>
      <c r="B47" s="53">
        <f>入力シート!E4</f>
        <v>40</v>
      </c>
      <c r="C47" s="32"/>
      <c r="D47" s="32"/>
      <c r="E47" s="32"/>
      <c r="F47" s="32"/>
      <c r="G47" s="32"/>
      <c r="H47" s="32"/>
      <c r="I47" s="32"/>
      <c r="J47" s="33"/>
      <c r="K47" s="34" t="s">
        <v>30</v>
      </c>
      <c r="L47" s="43" t="s">
        <v>12</v>
      </c>
      <c r="M47" s="55">
        <f>ROUNDDOWN(B47/2,0)</f>
        <v>20</v>
      </c>
      <c r="U47" s="35"/>
    </row>
    <row r="48" spans="1:21" x14ac:dyDescent="0.4">
      <c r="A48" s="34"/>
      <c r="B48" s="54" t="s">
        <v>5</v>
      </c>
      <c r="C48" s="14" t="s">
        <v>19</v>
      </c>
      <c r="D48" s="15" t="s">
        <v>20</v>
      </c>
      <c r="E48" s="16" t="s">
        <v>21</v>
      </c>
      <c r="F48" s="13" t="s">
        <v>5</v>
      </c>
      <c r="G48" s="3" t="s">
        <v>1</v>
      </c>
      <c r="H48" s="3" t="s">
        <v>8</v>
      </c>
      <c r="I48" s="3" t="s">
        <v>9</v>
      </c>
      <c r="J48" s="35"/>
      <c r="K48" s="63" t="s">
        <v>42</v>
      </c>
      <c r="M48" s="54" t="s">
        <v>5</v>
      </c>
      <c r="N48" s="14" t="s">
        <v>19</v>
      </c>
      <c r="O48" s="15" t="s">
        <v>20</v>
      </c>
      <c r="P48" s="16" t="s">
        <v>21</v>
      </c>
      <c r="Q48" s="13" t="s">
        <v>5</v>
      </c>
      <c r="R48" s="3" t="s">
        <v>1</v>
      </c>
      <c r="S48" s="3" t="s">
        <v>8</v>
      </c>
      <c r="T48" s="3" t="s">
        <v>9</v>
      </c>
      <c r="U48" s="35"/>
    </row>
    <row r="49" spans="1:21" x14ac:dyDescent="0.4">
      <c r="A49" s="34"/>
      <c r="B49" s="2" t="s">
        <v>14</v>
      </c>
      <c r="C49" s="5">
        <v>59.999999999999993</v>
      </c>
      <c r="D49" s="6"/>
      <c r="E49" s="10">
        <f t="shared" ref="E49:E54" si="34">C49*1.1</f>
        <v>66</v>
      </c>
      <c r="F49" s="11">
        <f>IF($B$17&gt;=10,10,$B$17)</f>
        <v>10</v>
      </c>
      <c r="G49" s="6">
        <f>F49*C49</f>
        <v>599.99999999999989</v>
      </c>
      <c r="H49" s="6">
        <f>F49*D49</f>
        <v>0</v>
      </c>
      <c r="I49" s="6">
        <f>F49*E49</f>
        <v>660</v>
      </c>
      <c r="J49" s="35"/>
      <c r="K49" s="34"/>
      <c r="M49" s="2" t="s">
        <v>14</v>
      </c>
      <c r="N49" s="5">
        <v>59.999999999999993</v>
      </c>
      <c r="O49" s="6"/>
      <c r="P49" s="10">
        <f t="shared" ref="P49:P54" si="35">N49*1.1</f>
        <v>66</v>
      </c>
      <c r="Q49" s="11">
        <f>IF($M$17&gt;=10,10,$M$17)</f>
        <v>10</v>
      </c>
      <c r="R49" s="6">
        <f>Q49*N49</f>
        <v>599.99999999999989</v>
      </c>
      <c r="S49" s="6">
        <f>Q49*O49</f>
        <v>0</v>
      </c>
      <c r="T49" s="6">
        <f>Q49*P49</f>
        <v>660</v>
      </c>
      <c r="U49" s="35"/>
    </row>
    <row r="50" spans="1:21" x14ac:dyDescent="0.4">
      <c r="A50" s="34"/>
      <c r="B50" s="1" t="s">
        <v>15</v>
      </c>
      <c r="C50" s="5">
        <v>107</v>
      </c>
      <c r="D50" s="6"/>
      <c r="E50" s="10">
        <f t="shared" si="34"/>
        <v>117.7</v>
      </c>
      <c r="F50" s="11">
        <f>IF($B$17&gt;=20,10,IF(AND($B$17&gt;10,$B$17&lt;=20),$B$17-10,0))</f>
        <v>10</v>
      </c>
      <c r="G50" s="6">
        <f t="shared" ref="G50:G54" si="36">F50*C50</f>
        <v>1070</v>
      </c>
      <c r="H50" s="6">
        <f t="shared" ref="H50:H54" si="37">F50*D50</f>
        <v>0</v>
      </c>
      <c r="I50" s="6">
        <f t="shared" ref="I50:I54" si="38">F50*E50</f>
        <v>1177</v>
      </c>
      <c r="J50" s="35"/>
      <c r="K50" s="34"/>
      <c r="M50" s="1" t="s">
        <v>15</v>
      </c>
      <c r="N50" s="5">
        <v>107</v>
      </c>
      <c r="O50" s="6"/>
      <c r="P50" s="10">
        <f t="shared" si="35"/>
        <v>117.7</v>
      </c>
      <c r="Q50" s="11">
        <f>IF($M$17&gt;=20,10,IF(AND($M$17&gt;10,$M$17&lt;=20),$M$17-10,0))</f>
        <v>10</v>
      </c>
      <c r="R50" s="6">
        <f t="shared" ref="R50:R54" si="39">Q50*N50</f>
        <v>1070</v>
      </c>
      <c r="S50" s="6">
        <f t="shared" ref="S50:S54" si="40">Q50*O50</f>
        <v>0</v>
      </c>
      <c r="T50" s="6">
        <f t="shared" ref="T50:T54" si="41">Q50*P50</f>
        <v>1177</v>
      </c>
      <c r="U50" s="35"/>
    </row>
    <row r="51" spans="1:21" x14ac:dyDescent="0.4">
      <c r="A51" s="34"/>
      <c r="B51" s="1" t="s">
        <v>16</v>
      </c>
      <c r="C51" s="5">
        <v>142</v>
      </c>
      <c r="D51" s="6"/>
      <c r="E51" s="10">
        <f t="shared" si="34"/>
        <v>156.20000000000002</v>
      </c>
      <c r="F51" s="11">
        <f>IF($B$17&gt;=50,30,IF(AND($B$17&gt;20,$B$17&lt;=50),$B$17-20,0))</f>
        <v>20</v>
      </c>
      <c r="G51" s="6">
        <f t="shared" si="36"/>
        <v>2840</v>
      </c>
      <c r="H51" s="6">
        <f t="shared" si="37"/>
        <v>0</v>
      </c>
      <c r="I51" s="6">
        <f t="shared" si="38"/>
        <v>3124.0000000000005</v>
      </c>
      <c r="J51" s="35"/>
      <c r="K51" s="34"/>
      <c r="M51" s="1" t="s">
        <v>16</v>
      </c>
      <c r="N51" s="5">
        <v>142</v>
      </c>
      <c r="O51" s="6"/>
      <c r="P51" s="10">
        <f t="shared" si="35"/>
        <v>156.20000000000002</v>
      </c>
      <c r="Q51" s="11">
        <f>IF($M$17&gt;=50,30,IF(AND($M$17&gt;20,$M$17&lt;=50),$M$17-20,0))</f>
        <v>0</v>
      </c>
      <c r="R51" s="6">
        <f t="shared" si="39"/>
        <v>0</v>
      </c>
      <c r="S51" s="6">
        <f t="shared" si="40"/>
        <v>0</v>
      </c>
      <c r="T51" s="6">
        <f t="shared" si="41"/>
        <v>0</v>
      </c>
      <c r="U51" s="35"/>
    </row>
    <row r="52" spans="1:21" x14ac:dyDescent="0.4">
      <c r="A52" s="34"/>
      <c r="B52" s="1" t="s">
        <v>17</v>
      </c>
      <c r="C52" s="5">
        <v>164.99999999999997</v>
      </c>
      <c r="D52" s="6"/>
      <c r="E52" s="10">
        <f t="shared" si="34"/>
        <v>181.49999999999997</v>
      </c>
      <c r="F52" s="11">
        <f>IF($B$17&gt;=100,50,IF(AND($B$17&gt;50,$B$17&lt;=500),$B$17-50,0))</f>
        <v>0</v>
      </c>
      <c r="G52" s="6">
        <f t="shared" si="36"/>
        <v>0</v>
      </c>
      <c r="H52" s="6">
        <f t="shared" si="37"/>
        <v>0</v>
      </c>
      <c r="I52" s="6">
        <f t="shared" si="38"/>
        <v>0</v>
      </c>
      <c r="J52" s="35"/>
      <c r="K52" s="34"/>
      <c r="M52" s="1" t="s">
        <v>17</v>
      </c>
      <c r="N52" s="5">
        <v>164.99999999999997</v>
      </c>
      <c r="O52" s="6"/>
      <c r="P52" s="10">
        <f t="shared" si="35"/>
        <v>181.49999999999997</v>
      </c>
      <c r="Q52" s="11">
        <f>IF($M$17&gt;=100,50,IF(AND($M$17&gt;50,$M$17&lt;=500),$M$17-50,0))</f>
        <v>0</v>
      </c>
      <c r="R52" s="6">
        <f t="shared" si="39"/>
        <v>0</v>
      </c>
      <c r="S52" s="6">
        <f t="shared" si="40"/>
        <v>0</v>
      </c>
      <c r="T52" s="6">
        <f t="shared" si="41"/>
        <v>0</v>
      </c>
      <c r="U52" s="35"/>
    </row>
    <row r="53" spans="1:21" x14ac:dyDescent="0.4">
      <c r="A53" s="34"/>
      <c r="B53" s="1" t="s">
        <v>18</v>
      </c>
      <c r="C53" s="5">
        <v>182.99999999999997</v>
      </c>
      <c r="D53" s="6"/>
      <c r="E53" s="10">
        <f t="shared" si="34"/>
        <v>201.29999999999998</v>
      </c>
      <c r="F53" s="11">
        <f>IF($B$17&gt;=500,400,IF(AND($B$17&gt;100,$B$17&lt;=500),$B$17-100,0))</f>
        <v>0</v>
      </c>
      <c r="G53" s="6">
        <f t="shared" si="36"/>
        <v>0</v>
      </c>
      <c r="H53" s="6">
        <f t="shared" si="37"/>
        <v>0</v>
      </c>
      <c r="I53" s="6">
        <f t="shared" si="38"/>
        <v>0</v>
      </c>
      <c r="J53" s="35"/>
      <c r="K53" s="34"/>
      <c r="M53" s="1" t="s">
        <v>18</v>
      </c>
      <c r="N53" s="5">
        <v>182.99999999999997</v>
      </c>
      <c r="O53" s="6"/>
      <c r="P53" s="10">
        <f t="shared" si="35"/>
        <v>201.29999999999998</v>
      </c>
      <c r="Q53" s="11">
        <f>IF($M$17&gt;=500,400,IF(AND($M$17&gt;100,$M$17&lt;=500),$M$17-100,0))</f>
        <v>0</v>
      </c>
      <c r="R53" s="6">
        <f t="shared" si="39"/>
        <v>0</v>
      </c>
      <c r="S53" s="6">
        <f t="shared" si="40"/>
        <v>0</v>
      </c>
      <c r="T53" s="6">
        <f t="shared" si="41"/>
        <v>0</v>
      </c>
      <c r="U53" s="35"/>
    </row>
    <row r="54" spans="1:21" x14ac:dyDescent="0.4">
      <c r="A54" s="34"/>
      <c r="B54" s="1" t="s">
        <v>2</v>
      </c>
      <c r="C54" s="5">
        <v>194.99999999999997</v>
      </c>
      <c r="D54" s="6"/>
      <c r="E54" s="10">
        <f t="shared" si="34"/>
        <v>214.5</v>
      </c>
      <c r="F54" s="11">
        <f>IF($B$17&gt;500,$B$17-500,0)</f>
        <v>0</v>
      </c>
      <c r="G54" s="6">
        <f t="shared" si="36"/>
        <v>0</v>
      </c>
      <c r="H54" s="6">
        <f t="shared" si="37"/>
        <v>0</v>
      </c>
      <c r="I54" s="6">
        <f t="shared" si="38"/>
        <v>0</v>
      </c>
      <c r="J54" s="35"/>
      <c r="K54" s="34"/>
      <c r="M54" s="1" t="s">
        <v>2</v>
      </c>
      <c r="N54" s="5">
        <v>194.99999999999997</v>
      </c>
      <c r="O54" s="6"/>
      <c r="P54" s="10">
        <f t="shared" si="35"/>
        <v>214.5</v>
      </c>
      <c r="Q54" s="11">
        <f>IF($M$17&gt;500,$M$17-500,0)</f>
        <v>0</v>
      </c>
      <c r="R54" s="6">
        <f t="shared" si="39"/>
        <v>0</v>
      </c>
      <c r="S54" s="6">
        <f t="shared" si="40"/>
        <v>0</v>
      </c>
      <c r="T54" s="6">
        <f t="shared" si="41"/>
        <v>0</v>
      </c>
      <c r="U54" s="35"/>
    </row>
    <row r="55" spans="1:21" x14ac:dyDescent="0.4">
      <c r="A55" s="34"/>
      <c r="E55" s="9" t="s">
        <v>6</v>
      </c>
      <c r="F55" s="1">
        <f>SUM(F49:F54)</f>
        <v>40</v>
      </c>
      <c r="G55" s="18">
        <f>SUM(G49:G54)</f>
        <v>4510</v>
      </c>
      <c r="H55" s="18">
        <f t="shared" ref="H55:I55" si="42">SUM(H49:H54)</f>
        <v>0</v>
      </c>
      <c r="I55" s="18">
        <f t="shared" si="42"/>
        <v>4961</v>
      </c>
      <c r="J55" s="35"/>
      <c r="K55" s="34"/>
      <c r="P55" s="9" t="s">
        <v>6</v>
      </c>
      <c r="Q55" s="1">
        <f>SUM(Q49:Q54)</f>
        <v>20</v>
      </c>
      <c r="R55" s="18">
        <f>SUM(R49:R54)</f>
        <v>1670</v>
      </c>
      <c r="S55" s="18">
        <f t="shared" ref="S55:T55" si="43">SUM(S49:S54)</f>
        <v>0</v>
      </c>
      <c r="T55" s="18">
        <f t="shared" si="43"/>
        <v>1837</v>
      </c>
      <c r="U55" s="35"/>
    </row>
    <row r="56" spans="1:21" x14ac:dyDescent="0.4">
      <c r="A56" s="34"/>
      <c r="H56" s="42"/>
      <c r="I56" s="42"/>
      <c r="J56" s="35"/>
      <c r="K56" s="34"/>
      <c r="P56" t="s">
        <v>22</v>
      </c>
      <c r="R56" s="19">
        <f>ROUNDDOWN(G45+R55,0)</f>
        <v>2370</v>
      </c>
      <c r="S56" s="19">
        <f>ROUNDDOWN(H45+S55,0)</f>
        <v>0</v>
      </c>
      <c r="T56" s="19">
        <f>ROUNDDOWN(I45+T55,0)</f>
        <v>2607</v>
      </c>
      <c r="U56" s="35"/>
    </row>
    <row r="57" spans="1:21" x14ac:dyDescent="0.4">
      <c r="A57" s="34"/>
      <c r="E57" t="s">
        <v>22</v>
      </c>
      <c r="G57" s="19">
        <f>G45+G55</f>
        <v>5210</v>
      </c>
      <c r="H57" s="19">
        <f t="shared" ref="H57:I57" si="44">H45+H55</f>
        <v>0</v>
      </c>
      <c r="I57" s="19">
        <f t="shared" si="44"/>
        <v>5731</v>
      </c>
      <c r="J57" s="35"/>
      <c r="K57" s="34"/>
      <c r="U57" s="35"/>
    </row>
    <row r="58" spans="1:21" x14ac:dyDescent="0.4">
      <c r="A58" s="34"/>
      <c r="E58" s="62" t="s">
        <v>40</v>
      </c>
      <c r="H58" s="20">
        <f>ROUNDDOWN(H57,-1)</f>
        <v>0</v>
      </c>
      <c r="I58" s="20">
        <f>ROUNDDOWN(I57,0)</f>
        <v>5731</v>
      </c>
      <c r="J58" s="35"/>
      <c r="K58" s="34"/>
      <c r="P58" t="s">
        <v>31</v>
      </c>
      <c r="R58" s="19">
        <f>R42+R56</f>
        <v>4740</v>
      </c>
      <c r="S58" s="19">
        <f>S42+S56</f>
        <v>0</v>
      </c>
      <c r="T58" s="19">
        <f>T42+T56</f>
        <v>5214</v>
      </c>
      <c r="U58" s="35"/>
    </row>
    <row r="59" spans="1:21" ht="19.5" thickBot="1" x14ac:dyDescent="0.45">
      <c r="A59" s="36"/>
      <c r="B59" s="39"/>
      <c r="C59" s="39"/>
      <c r="D59" s="39"/>
      <c r="E59" s="39"/>
      <c r="F59" s="39"/>
      <c r="G59" s="39"/>
      <c r="H59" s="39"/>
      <c r="I59" s="39"/>
      <c r="J59" s="40"/>
      <c r="K59" s="36"/>
      <c r="L59" s="39"/>
      <c r="M59" s="39"/>
      <c r="N59" s="39"/>
      <c r="O59" s="39"/>
      <c r="P59" s="61" t="s">
        <v>40</v>
      </c>
      <c r="Q59" s="39"/>
      <c r="R59" s="45">
        <f>ROUNDDOWN(R58,-1)</f>
        <v>4740</v>
      </c>
      <c r="S59" s="45">
        <f t="shared" ref="S59" si="45">ROUNDDOWN(S58,-1)</f>
        <v>0</v>
      </c>
      <c r="T59" s="45">
        <f>ROUNDDOWN(T58,0)</f>
        <v>5214</v>
      </c>
      <c r="U59" s="40"/>
    </row>
  </sheetData>
  <phoneticPr fontId="2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topLeftCell="C18" zoomScaleNormal="100" workbookViewId="0">
      <selection activeCell="T37" sqref="T37"/>
    </sheetView>
  </sheetViews>
  <sheetFormatPr defaultRowHeight="18.75" x14ac:dyDescent="0.4"/>
  <cols>
    <col min="7" max="9" width="11.125" bestFit="1" customWidth="1"/>
    <col min="11" max="11" width="5" customWidth="1"/>
    <col min="17" max="17" width="5.25" bestFit="1" customWidth="1"/>
    <col min="18" max="20" width="10" bestFit="1" customWidth="1"/>
    <col min="21" max="21" width="2.5" customWidth="1"/>
  </cols>
  <sheetData>
    <row r="1" spans="1:21" x14ac:dyDescent="0.4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21" ht="19.5" thickBot="1" x14ac:dyDescent="0.45">
      <c r="A2" s="34"/>
      <c r="B2" s="21"/>
      <c r="C2" s="21" t="s">
        <v>1</v>
      </c>
      <c r="D2" s="21" t="s">
        <v>8</v>
      </c>
      <c r="E2" s="21" t="s">
        <v>9</v>
      </c>
      <c r="J2" s="35"/>
    </row>
    <row r="3" spans="1:21" x14ac:dyDescent="0.4">
      <c r="A3" s="34"/>
      <c r="B3" s="4" t="s">
        <v>0</v>
      </c>
      <c r="C3" s="5">
        <v>924.99999999999989</v>
      </c>
      <c r="D3" s="5">
        <f>C3*1.08</f>
        <v>998.99999999999989</v>
      </c>
      <c r="E3" s="5">
        <f>C3*1.1</f>
        <v>1017.5</v>
      </c>
      <c r="J3" s="35"/>
      <c r="L3" s="31"/>
      <c r="M3" s="32"/>
      <c r="N3" s="32"/>
      <c r="O3" s="32"/>
      <c r="P3" s="32"/>
      <c r="Q3" s="32"/>
      <c r="R3" s="32"/>
      <c r="S3" s="32"/>
      <c r="T3" s="32"/>
      <c r="U3" s="33"/>
    </row>
    <row r="4" spans="1:21" ht="19.5" thickBot="1" x14ac:dyDescent="0.45">
      <c r="A4" s="36"/>
      <c r="B4" s="39"/>
      <c r="C4" s="46"/>
      <c r="D4" s="46"/>
      <c r="E4" s="46"/>
      <c r="F4" s="39"/>
      <c r="G4" s="39"/>
      <c r="H4" s="39"/>
      <c r="I4" s="39"/>
      <c r="J4" s="40"/>
      <c r="L4" s="34" t="s">
        <v>30</v>
      </c>
      <c r="U4" s="35"/>
    </row>
    <row r="5" spans="1:21" ht="19.5" thickBot="1" x14ac:dyDescent="0.45">
      <c r="A5" t="s">
        <v>12</v>
      </c>
      <c r="B5" s="53">
        <f>入力シート!E4</f>
        <v>40</v>
      </c>
      <c r="D5" s="31"/>
      <c r="E5" s="32"/>
      <c r="F5" s="32"/>
      <c r="G5" s="32"/>
      <c r="H5" s="32"/>
      <c r="I5" s="32"/>
      <c r="J5" s="33"/>
      <c r="L5" s="34" t="s">
        <v>12</v>
      </c>
      <c r="M5" s="53">
        <f>ROUNDUP($B$5/2,0)</f>
        <v>20</v>
      </c>
      <c r="U5" s="35"/>
    </row>
    <row r="6" spans="1:21" x14ac:dyDescent="0.4">
      <c r="B6" s="52" t="s">
        <v>5</v>
      </c>
      <c r="C6" s="48" t="s">
        <v>1</v>
      </c>
      <c r="D6" s="50" t="s">
        <v>8</v>
      </c>
      <c r="E6" s="23" t="s">
        <v>9</v>
      </c>
      <c r="F6" s="24" t="s">
        <v>5</v>
      </c>
      <c r="G6" s="22" t="s">
        <v>3</v>
      </c>
      <c r="H6" s="22" t="s">
        <v>8</v>
      </c>
      <c r="I6" s="22" t="s">
        <v>9</v>
      </c>
      <c r="J6" s="35"/>
      <c r="L6" s="34"/>
      <c r="M6" s="52" t="s">
        <v>5</v>
      </c>
      <c r="N6" s="22" t="s">
        <v>1</v>
      </c>
      <c r="O6" s="23" t="s">
        <v>8</v>
      </c>
      <c r="P6" s="23" t="s">
        <v>9</v>
      </c>
      <c r="Q6" s="24" t="s">
        <v>5</v>
      </c>
      <c r="R6" s="22" t="s">
        <v>3</v>
      </c>
      <c r="S6" s="22" t="s">
        <v>8</v>
      </c>
      <c r="T6" s="22" t="s">
        <v>9</v>
      </c>
      <c r="U6" s="35"/>
    </row>
    <row r="7" spans="1:21" x14ac:dyDescent="0.4">
      <c r="B7" s="4">
        <v>10</v>
      </c>
      <c r="C7" s="49">
        <v>34.999999999999993</v>
      </c>
      <c r="D7" s="51">
        <f>C7*1.08</f>
        <v>37.799999999999997</v>
      </c>
      <c r="E7" s="5">
        <f>C7*1.1</f>
        <v>38.499999999999993</v>
      </c>
      <c r="F7" s="11">
        <f>IF($B$5&gt;=10,10,$B$5)</f>
        <v>10</v>
      </c>
      <c r="G7" s="5">
        <f>F7*C7</f>
        <v>349.99999999999994</v>
      </c>
      <c r="H7" s="5">
        <f>D7*F7</f>
        <v>378</v>
      </c>
      <c r="I7" s="5">
        <f>E7*F7</f>
        <v>384.99999999999994</v>
      </c>
      <c r="J7" s="35"/>
      <c r="L7" s="34"/>
      <c r="M7" s="4">
        <v>10</v>
      </c>
      <c r="N7" s="5">
        <v>34.999999999999993</v>
      </c>
      <c r="O7" s="5">
        <f>N7*1.08</f>
        <v>37.799999999999997</v>
      </c>
      <c r="P7" s="5">
        <f>N7*1.1</f>
        <v>38.499999999999993</v>
      </c>
      <c r="Q7" s="11">
        <f>IF($M$5&gt;=10,10,$M$5)</f>
        <v>10</v>
      </c>
      <c r="R7" s="5">
        <f>Q7*N7</f>
        <v>349.99999999999994</v>
      </c>
      <c r="S7" s="5">
        <f>O7*Q7</f>
        <v>378</v>
      </c>
      <c r="T7" s="5">
        <f>P7*Q7</f>
        <v>384.99999999999994</v>
      </c>
      <c r="U7" s="35"/>
    </row>
    <row r="8" spans="1:21" x14ac:dyDescent="0.4">
      <c r="B8" s="4">
        <v>20</v>
      </c>
      <c r="C8" s="49">
        <v>124.99999999999999</v>
      </c>
      <c r="D8" s="51">
        <f t="shared" ref="D8:D15" si="0">C8*1.08</f>
        <v>135</v>
      </c>
      <c r="E8" s="5">
        <f t="shared" ref="E8:E15" si="1">C8*1.1</f>
        <v>137.5</v>
      </c>
      <c r="F8" s="11">
        <f>IF($B$5&gt;=20,10,IF(AND($B$5&gt;10,$B$5&lt;=20),$B$5-10,0))</f>
        <v>10</v>
      </c>
      <c r="G8" s="5">
        <f t="shared" ref="G8:G15" si="2">F8*C8</f>
        <v>1249.9999999999998</v>
      </c>
      <c r="H8" s="5">
        <f t="shared" ref="H8:H15" si="3">D8*F8</f>
        <v>1350</v>
      </c>
      <c r="I8" s="5">
        <f t="shared" ref="I8:I15" si="4">E8*F8</f>
        <v>1375</v>
      </c>
      <c r="J8" s="35"/>
      <c r="L8" s="34"/>
      <c r="M8" s="4">
        <v>20</v>
      </c>
      <c r="N8" s="5">
        <v>124.99999999999999</v>
      </c>
      <c r="O8" s="5">
        <f t="shared" ref="O8:O15" si="5">N8*1.08</f>
        <v>135</v>
      </c>
      <c r="P8" s="5">
        <f t="shared" ref="P8:P15" si="6">N8*1.1</f>
        <v>137.5</v>
      </c>
      <c r="Q8" s="11">
        <f>IF($M$5&gt;=20,10,IF(AND($M$5&gt;10,$M$5&lt;=20),$M$5-10,0))</f>
        <v>10</v>
      </c>
      <c r="R8" s="5">
        <f t="shared" ref="R8:R15" si="7">Q8*N8</f>
        <v>1249.9999999999998</v>
      </c>
      <c r="S8" s="5">
        <f t="shared" ref="S8:S15" si="8">O8*Q8</f>
        <v>1350</v>
      </c>
      <c r="T8" s="5">
        <f t="shared" ref="T8:T15" si="9">P8*Q8</f>
        <v>1375</v>
      </c>
      <c r="U8" s="35"/>
    </row>
    <row r="9" spans="1:21" x14ac:dyDescent="0.4">
      <c r="B9" s="4">
        <v>30</v>
      </c>
      <c r="C9" s="49">
        <v>144.99999999999997</v>
      </c>
      <c r="D9" s="51">
        <f t="shared" si="0"/>
        <v>156.59999999999997</v>
      </c>
      <c r="E9" s="5">
        <f t="shared" si="1"/>
        <v>159.49999999999997</v>
      </c>
      <c r="F9" s="11">
        <f>IF($B$5&gt;=30,10,IF(AND($B$5&gt;20,$B$5&lt;=30),$B$5-20,0))</f>
        <v>10</v>
      </c>
      <c r="G9" s="5">
        <f t="shared" si="2"/>
        <v>1449.9999999999998</v>
      </c>
      <c r="H9" s="5">
        <f t="shared" si="3"/>
        <v>1565.9999999999995</v>
      </c>
      <c r="I9" s="5">
        <f t="shared" si="4"/>
        <v>1594.9999999999998</v>
      </c>
      <c r="J9" s="35"/>
      <c r="L9" s="34"/>
      <c r="M9" s="4">
        <v>30</v>
      </c>
      <c r="N9" s="5">
        <v>144.99999999999997</v>
      </c>
      <c r="O9" s="5">
        <f t="shared" si="5"/>
        <v>156.59999999999997</v>
      </c>
      <c r="P9" s="5">
        <f t="shared" si="6"/>
        <v>159.49999999999997</v>
      </c>
      <c r="Q9" s="11">
        <f>IF($M$5&gt;=30,10,IF(AND($M$5&gt;20,$M$5&lt;=30),$M$5-20,0))</f>
        <v>0</v>
      </c>
      <c r="R9" s="5">
        <f t="shared" si="7"/>
        <v>0</v>
      </c>
      <c r="S9" s="5">
        <f t="shared" si="8"/>
        <v>0</v>
      </c>
      <c r="T9" s="5">
        <f t="shared" si="9"/>
        <v>0</v>
      </c>
      <c r="U9" s="35"/>
    </row>
    <row r="10" spans="1:21" x14ac:dyDescent="0.4">
      <c r="B10" s="4">
        <v>50</v>
      </c>
      <c r="C10" s="49">
        <v>160</v>
      </c>
      <c r="D10" s="51">
        <f t="shared" si="0"/>
        <v>172.8</v>
      </c>
      <c r="E10" s="5">
        <f t="shared" si="1"/>
        <v>176</v>
      </c>
      <c r="F10" s="11">
        <f>IF($B$5&gt;=50,20,IF(AND($B$5&gt;30,$B$5&lt;=50),$B$5-30,0))</f>
        <v>10</v>
      </c>
      <c r="G10" s="5">
        <f t="shared" si="2"/>
        <v>1600</v>
      </c>
      <c r="H10" s="5">
        <f t="shared" si="3"/>
        <v>1728</v>
      </c>
      <c r="I10" s="5">
        <f t="shared" si="4"/>
        <v>1760</v>
      </c>
      <c r="J10" s="35"/>
      <c r="L10" s="34"/>
      <c r="M10" s="4">
        <v>50</v>
      </c>
      <c r="N10" s="5">
        <v>160</v>
      </c>
      <c r="O10" s="5">
        <f t="shared" si="5"/>
        <v>172.8</v>
      </c>
      <c r="P10" s="5">
        <f t="shared" si="6"/>
        <v>176</v>
      </c>
      <c r="Q10" s="11">
        <f>IF($M$5&gt;=50,20,IF(AND($M$5&gt;30,$M$5&lt;=50),$M$5-30,0))</f>
        <v>0</v>
      </c>
      <c r="R10" s="5">
        <f t="shared" si="7"/>
        <v>0</v>
      </c>
      <c r="S10" s="5">
        <f t="shared" si="8"/>
        <v>0</v>
      </c>
      <c r="T10" s="5">
        <f t="shared" si="9"/>
        <v>0</v>
      </c>
      <c r="U10" s="35"/>
    </row>
    <row r="11" spans="1:21" x14ac:dyDescent="0.4">
      <c r="B11" s="4">
        <v>100</v>
      </c>
      <c r="C11" s="49">
        <v>175</v>
      </c>
      <c r="D11" s="51">
        <f t="shared" si="0"/>
        <v>189</v>
      </c>
      <c r="E11" s="5">
        <f t="shared" si="1"/>
        <v>192.50000000000003</v>
      </c>
      <c r="F11" s="11">
        <f>IF($B$5&gt;=100,50,IF(AND($B$5&gt;50,$B$5&lt;=100),$B$5-50,0))</f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  <c r="J11" s="35"/>
      <c r="L11" s="34"/>
      <c r="M11" s="4">
        <v>100</v>
      </c>
      <c r="N11" s="5">
        <v>175</v>
      </c>
      <c r="O11" s="5">
        <f t="shared" si="5"/>
        <v>189</v>
      </c>
      <c r="P11" s="5">
        <f t="shared" si="6"/>
        <v>192.50000000000003</v>
      </c>
      <c r="Q11" s="11">
        <f>IF($M$5&gt;=100,50,IF(AND($M$5&gt;50,$M$5&lt;=100),$M$5-50,0))</f>
        <v>0</v>
      </c>
      <c r="R11" s="5">
        <f t="shared" si="7"/>
        <v>0</v>
      </c>
      <c r="S11" s="5">
        <f t="shared" si="8"/>
        <v>0</v>
      </c>
      <c r="T11" s="5">
        <f t="shared" si="9"/>
        <v>0</v>
      </c>
      <c r="U11" s="35"/>
    </row>
    <row r="12" spans="1:21" x14ac:dyDescent="0.4">
      <c r="B12" s="4">
        <v>200</v>
      </c>
      <c r="C12" s="49">
        <v>189.99999999999997</v>
      </c>
      <c r="D12" s="51">
        <f t="shared" si="0"/>
        <v>205.2</v>
      </c>
      <c r="E12" s="5">
        <f t="shared" si="1"/>
        <v>208.99999999999997</v>
      </c>
      <c r="F12" s="11">
        <f>IF($B$5&gt;=200,100,IF(AND($B$5&gt;100,$B$5&lt;=200),$B$5-100,0))</f>
        <v>0</v>
      </c>
      <c r="G12" s="5">
        <f t="shared" si="2"/>
        <v>0</v>
      </c>
      <c r="H12" s="5">
        <f t="shared" si="3"/>
        <v>0</v>
      </c>
      <c r="I12" s="5">
        <f t="shared" si="4"/>
        <v>0</v>
      </c>
      <c r="J12" s="35"/>
      <c r="L12" s="34"/>
      <c r="M12" s="4">
        <v>200</v>
      </c>
      <c r="N12" s="5">
        <v>189.99999999999997</v>
      </c>
      <c r="O12" s="5">
        <f t="shared" si="5"/>
        <v>205.2</v>
      </c>
      <c r="P12" s="5">
        <f t="shared" si="6"/>
        <v>208.99999999999997</v>
      </c>
      <c r="Q12" s="11">
        <f>IF($M$5&gt;=200,100,IF(AND($M$5&gt;100,$M$5&lt;=200),$M$5-100,0))</f>
        <v>0</v>
      </c>
      <c r="R12" s="5">
        <f t="shared" si="7"/>
        <v>0</v>
      </c>
      <c r="S12" s="5">
        <f t="shared" si="8"/>
        <v>0</v>
      </c>
      <c r="T12" s="5">
        <f t="shared" si="9"/>
        <v>0</v>
      </c>
      <c r="U12" s="35"/>
    </row>
    <row r="13" spans="1:21" x14ac:dyDescent="0.4">
      <c r="B13" s="4">
        <v>500</v>
      </c>
      <c r="C13" s="49">
        <v>200</v>
      </c>
      <c r="D13" s="51">
        <f t="shared" si="0"/>
        <v>216</v>
      </c>
      <c r="E13" s="5">
        <f t="shared" si="1"/>
        <v>220.00000000000003</v>
      </c>
      <c r="F13" s="11">
        <f>IF($B$5&gt;=500,300,IF(AND($B$5&gt;200,$B$5&lt;=500),$B$5-200,0))</f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  <c r="J13" s="35"/>
      <c r="L13" s="34"/>
      <c r="M13" s="4">
        <v>500</v>
      </c>
      <c r="N13" s="5">
        <v>200</v>
      </c>
      <c r="O13" s="5">
        <f t="shared" si="5"/>
        <v>216</v>
      </c>
      <c r="P13" s="5">
        <f t="shared" si="6"/>
        <v>220.00000000000003</v>
      </c>
      <c r="Q13" s="11">
        <f>IF($M$5&gt;=500,300,IF(AND($M$5&gt;200,$M$5&lt;=500),$M$5-200,0))</f>
        <v>0</v>
      </c>
      <c r="R13" s="5">
        <f t="shared" si="7"/>
        <v>0</v>
      </c>
      <c r="S13" s="5">
        <f t="shared" si="8"/>
        <v>0</v>
      </c>
      <c r="T13" s="5">
        <f t="shared" si="9"/>
        <v>0</v>
      </c>
      <c r="U13" s="35"/>
    </row>
    <row r="14" spans="1:21" x14ac:dyDescent="0.4">
      <c r="B14" s="4">
        <v>1000</v>
      </c>
      <c r="C14" s="49">
        <v>210</v>
      </c>
      <c r="D14" s="51">
        <f t="shared" si="0"/>
        <v>226.8</v>
      </c>
      <c r="E14" s="5">
        <f t="shared" si="1"/>
        <v>231.00000000000003</v>
      </c>
      <c r="F14" s="11">
        <f>IF($B$5&gt;=1000,500,IF(AND($B$5&gt;500,$B$5&lt;=1000),$B$5-500,0))</f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  <c r="J14" s="35"/>
      <c r="L14" s="34"/>
      <c r="M14" s="4">
        <v>1000</v>
      </c>
      <c r="N14" s="5">
        <v>210</v>
      </c>
      <c r="O14" s="5">
        <f t="shared" si="5"/>
        <v>226.8</v>
      </c>
      <c r="P14" s="5">
        <f t="shared" si="6"/>
        <v>231.00000000000003</v>
      </c>
      <c r="Q14" s="11">
        <f>IF($M$5&gt;=1000,500,IF(AND($M$5&gt;500,$M$5&lt;=1000),$M$5-500,0))</f>
        <v>0</v>
      </c>
      <c r="R14" s="5">
        <f t="shared" si="7"/>
        <v>0</v>
      </c>
      <c r="S14" s="5">
        <f t="shared" si="8"/>
        <v>0</v>
      </c>
      <c r="T14" s="5">
        <f t="shared" si="9"/>
        <v>0</v>
      </c>
      <c r="U14" s="35"/>
    </row>
    <row r="15" spans="1:21" ht="19.5" thickBot="1" x14ac:dyDescent="0.45">
      <c r="B15" s="4" t="s">
        <v>25</v>
      </c>
      <c r="C15" s="49">
        <v>219.99999999999997</v>
      </c>
      <c r="D15" s="51">
        <f t="shared" si="0"/>
        <v>237.6</v>
      </c>
      <c r="E15" s="5">
        <f t="shared" si="1"/>
        <v>242</v>
      </c>
      <c r="F15" s="25">
        <f>IF($B$5&gt;1000,$B$5-1000,0)</f>
        <v>0</v>
      </c>
      <c r="G15" s="26">
        <f t="shared" si="2"/>
        <v>0</v>
      </c>
      <c r="H15" s="26">
        <f t="shared" si="3"/>
        <v>0</v>
      </c>
      <c r="I15" s="26">
        <f t="shared" si="4"/>
        <v>0</v>
      </c>
      <c r="J15" s="35"/>
      <c r="L15" s="34"/>
      <c r="M15" s="4" t="s">
        <v>25</v>
      </c>
      <c r="N15" s="5">
        <v>219.99999999999997</v>
      </c>
      <c r="O15" s="5">
        <f t="shared" si="5"/>
        <v>237.6</v>
      </c>
      <c r="P15" s="5">
        <f t="shared" si="6"/>
        <v>242</v>
      </c>
      <c r="Q15" s="25">
        <f>IF($M$5&gt;1000,$M$5-1000,0)</f>
        <v>0</v>
      </c>
      <c r="R15" s="26">
        <f t="shared" si="7"/>
        <v>0</v>
      </c>
      <c r="S15" s="26">
        <f t="shared" si="8"/>
        <v>0</v>
      </c>
      <c r="T15" s="26">
        <f t="shared" si="9"/>
        <v>0</v>
      </c>
      <c r="U15" s="35"/>
    </row>
    <row r="16" spans="1:21" ht="19.5" thickTop="1" x14ac:dyDescent="0.4">
      <c r="D16" s="34"/>
      <c r="E16" t="s">
        <v>6</v>
      </c>
      <c r="F16" s="28">
        <f>SUM(F7:F15)</f>
        <v>40</v>
      </c>
      <c r="G16" s="29">
        <f t="shared" ref="G16:I16" si="10">SUM(G7:G15)</f>
        <v>4650</v>
      </c>
      <c r="H16" s="29">
        <f t="shared" si="10"/>
        <v>5022</v>
      </c>
      <c r="I16" s="29">
        <f t="shared" si="10"/>
        <v>5115</v>
      </c>
      <c r="J16" s="35"/>
      <c r="L16" s="34"/>
      <c r="P16" t="s">
        <v>6</v>
      </c>
      <c r="Q16" s="28">
        <f>SUM(Q7:Q15)</f>
        <v>20</v>
      </c>
      <c r="R16" s="29">
        <f t="shared" ref="R16:T16" si="11">SUM(R7:R15)</f>
        <v>1599.9999999999998</v>
      </c>
      <c r="S16" s="29">
        <f t="shared" si="11"/>
        <v>1728</v>
      </c>
      <c r="T16" s="29">
        <f t="shared" si="11"/>
        <v>1760</v>
      </c>
      <c r="U16" s="35"/>
    </row>
    <row r="17" spans="4:21" x14ac:dyDescent="0.4">
      <c r="D17" s="34"/>
      <c r="J17" s="35"/>
      <c r="L17" s="34"/>
      <c r="U17" s="35"/>
    </row>
    <row r="18" spans="4:21" x14ac:dyDescent="0.4">
      <c r="D18" s="34"/>
      <c r="E18" t="s">
        <v>22</v>
      </c>
      <c r="G18" s="6">
        <f>C3+G16</f>
        <v>5575</v>
      </c>
      <c r="H18" s="6">
        <f t="shared" ref="H18:I18" si="12">D3+H16</f>
        <v>6021</v>
      </c>
      <c r="I18" s="6">
        <f t="shared" si="12"/>
        <v>6132.5</v>
      </c>
      <c r="J18" s="35"/>
      <c r="L18" s="34"/>
      <c r="P18" t="s">
        <v>22</v>
      </c>
      <c r="R18" s="6">
        <f>ROUNDDOWN(C3+R16,0)</f>
        <v>2525</v>
      </c>
      <c r="S18" s="6">
        <f>ROUNDDOWN(D3+S16,0)</f>
        <v>2727</v>
      </c>
      <c r="T18" s="6">
        <f>ROUNDDOWN(E3+T16,0)</f>
        <v>2777</v>
      </c>
      <c r="U18" s="35"/>
    </row>
    <row r="19" spans="4:21" ht="19.5" thickBot="1" x14ac:dyDescent="0.45">
      <c r="D19" s="34"/>
      <c r="E19" t="s">
        <v>23</v>
      </c>
      <c r="H19" s="27">
        <f>ROUNDDOWN(H18,-1)</f>
        <v>6020</v>
      </c>
      <c r="I19" s="27">
        <f>ROUNDDOWN(I18,0)</f>
        <v>6132</v>
      </c>
      <c r="J19" s="35"/>
      <c r="L19" s="34"/>
      <c r="S19" s="47"/>
      <c r="T19" s="47"/>
      <c r="U19" s="35"/>
    </row>
    <row r="20" spans="4:21" ht="19.5" thickBot="1" x14ac:dyDescent="0.45">
      <c r="D20" s="34"/>
      <c r="J20" s="35"/>
      <c r="L20" s="34" t="s">
        <v>12</v>
      </c>
      <c r="M20" s="53">
        <f>ROUNDDOWN($B$5/2,0)</f>
        <v>20</v>
      </c>
      <c r="U20" s="35"/>
    </row>
    <row r="21" spans="4:21" ht="19.5" thickBot="1" x14ac:dyDescent="0.45">
      <c r="D21" s="36"/>
      <c r="E21" s="39"/>
      <c r="F21" s="39"/>
      <c r="G21" s="39"/>
      <c r="H21" s="39"/>
      <c r="I21" s="39"/>
      <c r="J21" s="40"/>
      <c r="L21" s="34"/>
      <c r="M21" s="52" t="s">
        <v>5</v>
      </c>
      <c r="N21" s="22" t="s">
        <v>1</v>
      </c>
      <c r="O21" s="23" t="s">
        <v>8</v>
      </c>
      <c r="P21" s="23" t="s">
        <v>9</v>
      </c>
      <c r="Q21" s="24" t="s">
        <v>5</v>
      </c>
      <c r="R21" s="22" t="s">
        <v>3</v>
      </c>
      <c r="S21" s="22" t="s">
        <v>8</v>
      </c>
      <c r="T21" s="22" t="s">
        <v>9</v>
      </c>
      <c r="U21" s="35"/>
    </row>
    <row r="22" spans="4:21" x14ac:dyDescent="0.4">
      <c r="L22" s="34"/>
      <c r="M22" s="4">
        <v>10</v>
      </c>
      <c r="N22" s="5">
        <v>34.999999999999993</v>
      </c>
      <c r="O22" s="5">
        <f>N22*1.08</f>
        <v>37.799999999999997</v>
      </c>
      <c r="P22" s="5">
        <f>N22*1.1</f>
        <v>38.499999999999993</v>
      </c>
      <c r="Q22" s="11">
        <f>IF($M$20&gt;=10,10,$M$20)</f>
        <v>10</v>
      </c>
      <c r="R22" s="5">
        <f>Q22*N22</f>
        <v>349.99999999999994</v>
      </c>
      <c r="S22" s="5">
        <f>O22*Q22</f>
        <v>378</v>
      </c>
      <c r="T22" s="5">
        <f>P22*Q22</f>
        <v>384.99999999999994</v>
      </c>
      <c r="U22" s="35"/>
    </row>
    <row r="23" spans="4:21" x14ac:dyDescent="0.4">
      <c r="L23" s="34"/>
      <c r="M23" s="4">
        <v>20</v>
      </c>
      <c r="N23" s="5">
        <v>124.99999999999999</v>
      </c>
      <c r="O23" s="5">
        <f t="shared" ref="O23:O30" si="13">N23*1.08</f>
        <v>135</v>
      </c>
      <c r="P23" s="5">
        <f t="shared" ref="P23:P30" si="14">N23*1.1</f>
        <v>137.5</v>
      </c>
      <c r="Q23" s="11">
        <f>IF($M$20&gt;=20,10,IF(AND($M$20&gt;10,$M$20&lt;=20),$M$20-10,0))</f>
        <v>10</v>
      </c>
      <c r="R23" s="5">
        <f t="shared" ref="R23:R30" si="15">Q23*N23</f>
        <v>1249.9999999999998</v>
      </c>
      <c r="S23" s="5">
        <f t="shared" ref="S23:S30" si="16">O23*Q23</f>
        <v>1350</v>
      </c>
      <c r="T23" s="5">
        <f t="shared" ref="T23:T30" si="17">P23*Q23</f>
        <v>1375</v>
      </c>
      <c r="U23" s="35"/>
    </row>
    <row r="24" spans="4:21" x14ac:dyDescent="0.4">
      <c r="L24" s="34"/>
      <c r="M24" s="4">
        <v>30</v>
      </c>
      <c r="N24" s="5">
        <v>144.99999999999997</v>
      </c>
      <c r="O24" s="5">
        <f t="shared" si="13"/>
        <v>156.59999999999997</v>
      </c>
      <c r="P24" s="5">
        <f t="shared" si="14"/>
        <v>159.49999999999997</v>
      </c>
      <c r="Q24" s="11">
        <f>IF($M$20&gt;=30,10,IF(AND($M$20&gt;20,$M$20&lt;=30),$M$20-20,0))</f>
        <v>0</v>
      </c>
      <c r="R24" s="5">
        <f t="shared" si="15"/>
        <v>0</v>
      </c>
      <c r="S24" s="5">
        <f t="shared" si="16"/>
        <v>0</v>
      </c>
      <c r="T24" s="5">
        <f t="shared" si="17"/>
        <v>0</v>
      </c>
      <c r="U24" s="35"/>
    </row>
    <row r="25" spans="4:21" x14ac:dyDescent="0.4">
      <c r="L25" s="34"/>
      <c r="M25" s="4">
        <v>50</v>
      </c>
      <c r="N25" s="5">
        <v>160</v>
      </c>
      <c r="O25" s="5">
        <f t="shared" si="13"/>
        <v>172.8</v>
      </c>
      <c r="P25" s="5">
        <f t="shared" si="14"/>
        <v>176</v>
      </c>
      <c r="Q25" s="11">
        <f>IF($M$20&gt;=50,20,IF(AND($M$20&gt;30,$M$20&lt;=50),$M$20-30,0))</f>
        <v>0</v>
      </c>
      <c r="R25" s="5">
        <f t="shared" si="15"/>
        <v>0</v>
      </c>
      <c r="S25" s="5">
        <f t="shared" si="16"/>
        <v>0</v>
      </c>
      <c r="T25" s="5">
        <f t="shared" si="17"/>
        <v>0</v>
      </c>
      <c r="U25" s="35"/>
    </row>
    <row r="26" spans="4:21" x14ac:dyDescent="0.4">
      <c r="L26" s="34"/>
      <c r="M26" s="4">
        <v>100</v>
      </c>
      <c r="N26" s="5">
        <v>175</v>
      </c>
      <c r="O26" s="5">
        <f t="shared" si="13"/>
        <v>189</v>
      </c>
      <c r="P26" s="5">
        <f t="shared" si="14"/>
        <v>192.50000000000003</v>
      </c>
      <c r="Q26" s="11">
        <f>IF($M$20&gt;=100,50,IF(AND($M$20&gt;50,$M$20&lt;=100),$M$20-50,0))</f>
        <v>0</v>
      </c>
      <c r="R26" s="5">
        <f t="shared" si="15"/>
        <v>0</v>
      </c>
      <c r="S26" s="5">
        <f t="shared" si="16"/>
        <v>0</v>
      </c>
      <c r="T26" s="5">
        <f t="shared" si="17"/>
        <v>0</v>
      </c>
      <c r="U26" s="35"/>
    </row>
    <row r="27" spans="4:21" x14ac:dyDescent="0.4">
      <c r="L27" s="34"/>
      <c r="M27" s="4">
        <v>200</v>
      </c>
      <c r="N27" s="5">
        <v>189.99999999999997</v>
      </c>
      <c r="O27" s="5">
        <f t="shared" si="13"/>
        <v>205.2</v>
      </c>
      <c r="P27" s="5">
        <f t="shared" si="14"/>
        <v>208.99999999999997</v>
      </c>
      <c r="Q27" s="11">
        <f>IF($M$20&gt;=200,100,IF(AND($M$20&gt;100,$M$20&lt;=200),$M$20-100,0))</f>
        <v>0</v>
      </c>
      <c r="R27" s="5">
        <f t="shared" si="15"/>
        <v>0</v>
      </c>
      <c r="S27" s="5">
        <f t="shared" si="16"/>
        <v>0</v>
      </c>
      <c r="T27" s="5">
        <f t="shared" si="17"/>
        <v>0</v>
      </c>
      <c r="U27" s="35"/>
    </row>
    <row r="28" spans="4:21" x14ac:dyDescent="0.4">
      <c r="L28" s="34"/>
      <c r="M28" s="4">
        <v>500</v>
      </c>
      <c r="N28" s="5">
        <v>200</v>
      </c>
      <c r="O28" s="5">
        <f t="shared" si="13"/>
        <v>216</v>
      </c>
      <c r="P28" s="5">
        <f t="shared" si="14"/>
        <v>220.00000000000003</v>
      </c>
      <c r="Q28" s="11">
        <f>IF($M$20&gt;=500,300,IF(AND($M$20&gt;200,$M$20&lt;=500),$M$20-200,0))</f>
        <v>0</v>
      </c>
      <c r="R28" s="5">
        <f t="shared" si="15"/>
        <v>0</v>
      </c>
      <c r="S28" s="5">
        <f t="shared" si="16"/>
        <v>0</v>
      </c>
      <c r="T28" s="5">
        <f t="shared" si="17"/>
        <v>0</v>
      </c>
      <c r="U28" s="35"/>
    </row>
    <row r="29" spans="4:21" x14ac:dyDescent="0.4">
      <c r="L29" s="34"/>
      <c r="M29" s="4">
        <v>1000</v>
      </c>
      <c r="N29" s="5">
        <v>210</v>
      </c>
      <c r="O29" s="5">
        <f t="shared" si="13"/>
        <v>226.8</v>
      </c>
      <c r="P29" s="5">
        <f t="shared" si="14"/>
        <v>231.00000000000003</v>
      </c>
      <c r="Q29" s="11">
        <f>IF($M$20&gt;=1000,500,IF(AND($M$20&gt;500,$M$20&lt;=1000),$M$20-500,0))</f>
        <v>0</v>
      </c>
      <c r="R29" s="5">
        <f t="shared" si="15"/>
        <v>0</v>
      </c>
      <c r="S29" s="5">
        <f t="shared" si="16"/>
        <v>0</v>
      </c>
      <c r="T29" s="5">
        <f t="shared" si="17"/>
        <v>0</v>
      </c>
      <c r="U29" s="35"/>
    </row>
    <row r="30" spans="4:21" ht="19.5" thickBot="1" x14ac:dyDescent="0.45">
      <c r="L30" s="34"/>
      <c r="M30" s="4" t="s">
        <v>25</v>
      </c>
      <c r="N30" s="5">
        <v>219.99999999999997</v>
      </c>
      <c r="O30" s="5">
        <f t="shared" si="13"/>
        <v>237.6</v>
      </c>
      <c r="P30" s="5">
        <f t="shared" si="14"/>
        <v>242</v>
      </c>
      <c r="Q30" s="25">
        <f>IF($M$20&gt;1000,$M$20-1000,0)</f>
        <v>0</v>
      </c>
      <c r="R30" s="26">
        <f t="shared" si="15"/>
        <v>0</v>
      </c>
      <c r="S30" s="26">
        <f t="shared" si="16"/>
        <v>0</v>
      </c>
      <c r="T30" s="26">
        <f t="shared" si="17"/>
        <v>0</v>
      </c>
      <c r="U30" s="35"/>
    </row>
    <row r="31" spans="4:21" ht="19.5" thickTop="1" x14ac:dyDescent="0.4">
      <c r="L31" s="34"/>
      <c r="P31" t="s">
        <v>6</v>
      </c>
      <c r="Q31" s="28">
        <f>SUM(Q22:Q30)</f>
        <v>20</v>
      </c>
      <c r="R31" s="29">
        <f t="shared" ref="R31:T31" si="18">SUM(R22:R30)</f>
        <v>1599.9999999999998</v>
      </c>
      <c r="S31" s="29">
        <f t="shared" si="18"/>
        <v>1728</v>
      </c>
      <c r="T31" s="29">
        <f t="shared" si="18"/>
        <v>1760</v>
      </c>
      <c r="U31" s="35"/>
    </row>
    <row r="32" spans="4:21" x14ac:dyDescent="0.4">
      <c r="L32" s="34"/>
      <c r="U32" s="35"/>
    </row>
    <row r="33" spans="12:21" x14ac:dyDescent="0.4">
      <c r="L33" s="34"/>
      <c r="P33" t="s">
        <v>22</v>
      </c>
      <c r="R33" s="6">
        <f>ROUNDDOWN(C3+R31,0)</f>
        <v>2525</v>
      </c>
      <c r="S33" s="6">
        <f>ROUNDDOWN(D3+S31,0)</f>
        <v>2727</v>
      </c>
      <c r="T33" s="6">
        <f>ROUNDDOWN(E3+T31,0)</f>
        <v>2777</v>
      </c>
      <c r="U33" s="35"/>
    </row>
    <row r="34" spans="12:21" x14ac:dyDescent="0.4">
      <c r="L34" s="34"/>
      <c r="U34" s="35"/>
    </row>
    <row r="35" spans="12:21" x14ac:dyDescent="0.4">
      <c r="L35" s="34"/>
      <c r="P35" t="s">
        <v>31</v>
      </c>
      <c r="R35" s="19">
        <f>R18+R33</f>
        <v>5050</v>
      </c>
      <c r="S35" s="19">
        <f t="shared" ref="S35:T35" si="19">S18+S33</f>
        <v>5454</v>
      </c>
      <c r="T35" s="19">
        <f t="shared" si="19"/>
        <v>5554</v>
      </c>
      <c r="U35" s="35"/>
    </row>
    <row r="36" spans="12:21" x14ac:dyDescent="0.4">
      <c r="L36" s="34"/>
      <c r="P36" t="s">
        <v>32</v>
      </c>
      <c r="R36" s="20">
        <f>ROUNDDOWN(R35,-1)</f>
        <v>5050</v>
      </c>
      <c r="S36" s="20">
        <f t="shared" ref="S36" si="20">ROUNDDOWN(S35,-1)</f>
        <v>5450</v>
      </c>
      <c r="T36" s="20">
        <f>ROUNDDOWN(T35,0)</f>
        <v>5554</v>
      </c>
      <c r="U36" s="35"/>
    </row>
    <row r="37" spans="12:21" ht="19.5" thickBot="1" x14ac:dyDescent="0.45">
      <c r="L37" s="36"/>
      <c r="M37" s="39"/>
      <c r="N37" s="39"/>
      <c r="O37" s="39"/>
      <c r="P37" s="39"/>
      <c r="Q37" s="39"/>
      <c r="R37" s="39"/>
      <c r="S37" s="39"/>
      <c r="T37" s="39"/>
      <c r="U37" s="40"/>
    </row>
  </sheetData>
  <phoneticPr fontId="2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水道</vt:lpstr>
      <vt:lpstr>下水道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2019-08-01T08:03:50Z</cp:lastPrinted>
  <dcterms:created xsi:type="dcterms:W3CDTF">2019-07-25T05:50:31Z</dcterms:created>
  <dcterms:modified xsi:type="dcterms:W3CDTF">2025-04-24T04:36:59Z</dcterms:modified>
</cp:coreProperties>
</file>